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Прилож.1" sheetId="1" r:id="rId1"/>
  </sheets>
  <definedNames>
    <definedName name="_xlnm.Print_Titles" localSheetId="0">'Прилож.1'!$6:$9</definedName>
  </definedNames>
  <calcPr fullCalcOnLoad="1"/>
</workbook>
</file>

<file path=xl/sharedStrings.xml><?xml version="1.0" encoding="utf-8"?>
<sst xmlns="http://schemas.openxmlformats.org/spreadsheetml/2006/main" count="334" uniqueCount="220">
  <si>
    <t>Наименование объекта</t>
  </si>
  <si>
    <t>Наименование района</t>
  </si>
  <si>
    <t>1</t>
  </si>
  <si>
    <t>2</t>
  </si>
  <si>
    <t>3</t>
  </si>
  <si>
    <t>ООО "РемСЭД"</t>
  </si>
  <si>
    <t>Приложение  1 к отчету</t>
  </si>
  <si>
    <t>Волховский р-он</t>
  </si>
  <si>
    <t>Иные и прочие работы</t>
  </si>
  <si>
    <t xml:space="preserve">Содержание автомобильных дорог регионального значения и искусственных сооружений на них </t>
  </si>
  <si>
    <t>Подрядчик                                           по строительно-монтажным работам</t>
  </si>
  <si>
    <t>ИТОГО по содержанию автомобильных дорог общего пользования регионального и межмуниципального значения.</t>
  </si>
  <si>
    <t>ИТОГО по капитальному ремонту автомобильных дорог общего пользования регионального и межмуниципального значения</t>
  </si>
  <si>
    <t>Всего по району:</t>
  </si>
  <si>
    <t>Проектно-изыскательские и  прочие работы и затраты</t>
  </si>
  <si>
    <t>ОАО "ГСК"</t>
  </si>
  <si>
    <t>ЗАО "АБЗ-Дорстрой"</t>
  </si>
  <si>
    <t>ООО "ЭСКО"</t>
  </si>
  <si>
    <t xml:space="preserve"> а/д «Саперное-Мельниково-Кузнечное»  на участке км 53 – км 57</t>
  </si>
  <si>
    <t xml:space="preserve"> а/д «Петрово - ст. Малукса»  на участке км 0+000 – км 4+250</t>
  </si>
  <si>
    <t>п.5.   Мероприятия по содержанию автомобильных дорог общего пользования регионального и межмуниципального значения.</t>
  </si>
  <si>
    <t>п. 6.  Мероприятия по капитальному ремонту автомобильных дорог общего пользования регионального и межмуниципального значения</t>
  </si>
  <si>
    <t>п. 7.  Мероприятия по ремонту автомобильных дорог общего пользования регионального и межмуниципального значения</t>
  </si>
  <si>
    <t>ООО"Вега-2000"</t>
  </si>
  <si>
    <t xml:space="preserve"> а/д «Померанье-Кунесть»  на участке км 0+000– км 4+000</t>
  </si>
  <si>
    <t>Всего по прочим расходам:</t>
  </si>
  <si>
    <t>Всеволожский</t>
  </si>
  <si>
    <t>ООО"АБЗ-Котлы"</t>
  </si>
  <si>
    <t>Волховский</t>
  </si>
  <si>
    <t>Капитальный ремонт моста через р. Сиглинка на км 85+418 автомобильной дороги "Зуево-Новая Ладога"</t>
  </si>
  <si>
    <t>ООО "СК "Балтийский Регион"</t>
  </si>
  <si>
    <t>Капитальный ремонт автомобильной дороги "Паша-Свирица-Загубье" на участке км 9+200 - км 19+962</t>
  </si>
  <si>
    <t>Лужский</t>
  </si>
  <si>
    <t>ООО "ДАФ"</t>
  </si>
  <si>
    <t>ИТОГО по  текущим ремонтам</t>
  </si>
  <si>
    <t>Ввод              км/п.м</t>
  </si>
  <si>
    <t>а/д "Новая Пустошь -Невская Дубровка" на км 0+000 - км 6+000</t>
  </si>
  <si>
    <t>Прочие работы и затраты</t>
  </si>
  <si>
    <t>ИТОГО по ремонту автомобильных дорог общего пользования регионального и межмуниципального значения</t>
  </si>
  <si>
    <t xml:space="preserve">п. 8.  Прочие расходы на приведение в нормативное состояние отдельных участков региональных автомобильных дорог. </t>
  </si>
  <si>
    <t>План</t>
  </si>
  <si>
    <t>факт 2015</t>
  </si>
  <si>
    <t>Ломоносовский   район</t>
  </si>
  <si>
    <t>Лодейнопольский район</t>
  </si>
  <si>
    <t>Лужский район</t>
  </si>
  <si>
    <t>Кировский район</t>
  </si>
  <si>
    <t>Волховский район</t>
  </si>
  <si>
    <t>Бокситогорский район</t>
  </si>
  <si>
    <t>Всеволожский район</t>
  </si>
  <si>
    <t>Кингисеппский район</t>
  </si>
  <si>
    <t>Ломоносовский район</t>
  </si>
  <si>
    <t>Волосовский район</t>
  </si>
  <si>
    <t>Выборгский район</t>
  </si>
  <si>
    <t>Гатчинский район</t>
  </si>
  <si>
    <t>Киришский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</si>
  <si>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</si>
  <si>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</si>
  <si>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</si>
  <si>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</si>
  <si>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</si>
  <si>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 xml:space="preserve">Фактическое выполнение работ за январь-декабрь 2016г. </t>
  </si>
  <si>
    <t>ООО "Автодорострой"</t>
  </si>
  <si>
    <t>ООО "Леноблстрой"</t>
  </si>
  <si>
    <t>ЗАО "ВАД"</t>
  </si>
  <si>
    <t>ООО "СтройКом"</t>
  </si>
  <si>
    <t>ООО"Корпорация В"</t>
  </si>
  <si>
    <t>Мост через реку Петлянка, км 23+769 а/д Молодежное - Верхнее Черкасово</t>
  </si>
  <si>
    <t xml:space="preserve"> а/д "Парголово-Огоньки" участок км 38+400- км 38+800</t>
  </si>
  <si>
    <t>а/д"Парголово - Огоньки", км 23+780-км 27+700 в черте г. Сертолово</t>
  </si>
  <si>
    <t>а/д"Санкт-Петербург-Ручьи" на участках км 48+000-49+000 и км 57+000- км 58+000 с устройством укрепительных сооружений</t>
  </si>
  <si>
    <t>а/д "Лужицы-1 Мая" на участке км 53+000- км 58+500</t>
  </si>
  <si>
    <t>а/д "Сомино-Ольеши" на участке км 6+000- км 8+700</t>
  </si>
  <si>
    <t>а/д "Подъезд к санаторию Сярьги" на участке гравийного покрытия км 4+340- км 5+612</t>
  </si>
  <si>
    <t>ООО"Дортэкс"</t>
  </si>
  <si>
    <t>а/д "Оять-Алеховщина-Надпорожье-Плотично" на участке км 134+560- км 146+366</t>
  </si>
  <si>
    <t>ООО "Дортекс"</t>
  </si>
  <si>
    <t>а/д"Менюши-Заручевье-Каменец" км 0+000 - км 18+000</t>
  </si>
  <si>
    <t>а/д "Гостицы-Пустомержа" км 36+718- км 56+800</t>
  </si>
  <si>
    <t>ОО "Техносфера"</t>
  </si>
  <si>
    <t>а/д "Павлово-Мга-Любань-Оредеж-Луга" на участке км 34+420- км 43+715</t>
  </si>
  <si>
    <t>ЗАО "ПИЛОН"</t>
  </si>
  <si>
    <t>в том числе проектно-изыскательские работы (в объектах)</t>
  </si>
  <si>
    <t>Всего</t>
  </si>
  <si>
    <t>ФБ</t>
  </si>
  <si>
    <t>Об</t>
  </si>
  <si>
    <t>Средства федерального бюджета поступившие в бюджет Ленинградской области 23.12.2016 года</t>
  </si>
  <si>
    <t>тыс.руб.</t>
  </si>
  <si>
    <t xml:space="preserve">ПЛАН на 2016 год </t>
  </si>
  <si>
    <t>Заголодно - Ефимовский - Радогощь, км 12+140 - км 16+140</t>
  </si>
  <si>
    <t>Заголодно - Ефимовский - Радогощь, км 16+140 - км 31+700</t>
  </si>
  <si>
    <t>Толмачево - "Нарва", км 115+700-км 118+620</t>
  </si>
  <si>
    <t>Кемполово - Выра - Тосно - Шапки, км 7+000 - км 9+400</t>
  </si>
  <si>
    <t>Кириши-Городище-Волхов, км 21+000-км 35+696, км 42+500-км 51+356 (выборочно, км 47+356-км 49+356)</t>
  </si>
  <si>
    <t>Кириши-Городище-Волхов, км 21+000-км 35+696, км 42+500-км 51+356 (выборочно км 49+356- км 51+356)</t>
  </si>
  <si>
    <t>Ст. Магнитная-пос. им. Морозова, км 0+000 - км 3+000</t>
  </si>
  <si>
    <t>Елизаветника - Медный завод км 0+000 - км 3+000</t>
  </si>
  <si>
    <t>Огоньки - Стрельцово - Толоконниково, км  68+525 - км 70+525</t>
  </si>
  <si>
    <t xml:space="preserve">Молодежное - В. Черкасово, км 51+000 - км 54+000 </t>
  </si>
  <si>
    <t>Красносельское-Правдино км 0+000- км 5+235</t>
  </si>
  <si>
    <t>Подъезд к п. Правдино км 0+000 - км 4+780</t>
  </si>
  <si>
    <t>Елизаветино - Фьюнатово, км 6+000- км 10+560</t>
  </si>
  <si>
    <t>Новая-Нижняя, км 2+085- км 2+300</t>
  </si>
  <si>
    <t>Подъезд к д. Нижняя, км 0+000-км 1+048</t>
  </si>
  <si>
    <t>Гурлево-Керстово, км 0,000- км 8+126 (решение суда, объект 2013 г.)</t>
  </si>
  <si>
    <t>Кириши - Городище - Волхов,  км 0+000 - км 1+200</t>
  </si>
  <si>
    <t>Кириши - Городище - Волхов, 2+800 - км 5+500</t>
  </si>
  <si>
    <t>Кириши - Городище - Волхов,  км 5+500-км 8+000</t>
  </si>
  <si>
    <t>Подъезд к д. Пчевжа, км 0-км 0+860</t>
  </si>
  <si>
    <t>Санкт-Петербург - Кировск, -км 38+530 - км 46+300 с примыканием к а/д Ульяновка - Отрадное</t>
  </si>
  <si>
    <t>Подьезд к птицефабрике "Северная", км 0+140 - км 0+950</t>
  </si>
  <si>
    <t>Лаврово-Кобона-Сухое, км 8+098- км 19+806</t>
  </si>
  <si>
    <t>Лаврово-Шум-Ратница, км 7+540-км 10+140</t>
  </si>
  <si>
    <t>Кобона-Леднёво-Чёрное, км 0+000 - км 0+610</t>
  </si>
  <si>
    <t xml:space="preserve">Дусьево-Сухое-Остров, км 0+000 -км 8+000 </t>
  </si>
  <si>
    <t>Ретюнь-Волошово-Сара Гора, км 13+725-км 31+000 (выборочно)</t>
  </si>
  <si>
    <t>ст.Оять-Алеховщина-Надпорожье-Плотично, км 49-км 50, км 27+102 - км 37+000 (выборочно)</t>
  </si>
  <si>
    <t>Петрозаводск - Ошта, км 138+270-км 145+000</t>
  </si>
  <si>
    <t>Пески - Сосново - Подгорье, км 26+793-27+543</t>
  </si>
  <si>
    <t>Псков-Гдов-Сланцы-Кингисепп-Краколье км 180 - км 199+203 (выборочно)</t>
  </si>
  <si>
    <t>Псков-Гдов-Сланцы-Кингисепп-Краколье км 172+722-кмп 173+700, км 184+000-км 199+203</t>
  </si>
  <si>
    <t>Псков-Гдов-Сланцы-Кингисепп-Краколье км 174+003 - км 176+226</t>
  </si>
  <si>
    <t>Подъезд к дер. Дуброво, км 4+600-км 5+500</t>
  </si>
  <si>
    <t>Кемполово - Выра - Тосно - Шапки, км 85+351 - км 86+000, км 88+000-км 92+000</t>
  </si>
  <si>
    <t>ЗАО "Иртыш"</t>
  </si>
  <si>
    <t>ООО "НордСтройтранс"</t>
  </si>
  <si>
    <t>ООО "Техносфера"</t>
  </si>
  <si>
    <t>ООО "УК Грантинвест"</t>
  </si>
  <si>
    <t xml:space="preserve"> ООО «НордСтройтранс»</t>
  </si>
  <si>
    <t>Мост через реку Черная на км 0+406 а/д Подъезд к поселку Радченко</t>
  </si>
  <si>
    <t>Огоньки - Стрельцово - Толоконниково, км 68+342 - км 68+525</t>
  </si>
  <si>
    <t>Советский-Дятлово-автодорога Молодежное-Верхнее Черкасово, км 18+000 - км 27+440</t>
  </si>
  <si>
    <t>Лесогорск-Топольки, км 0 - км 2+300</t>
  </si>
  <si>
    <t>Мост через реку Перовка на км 8+157 а/д Выборг-Смрново</t>
  </si>
  <si>
    <t>Мост через реку Волочаевка на км 0+000 а/д Козицкие Луга-Волочаевка</t>
  </si>
  <si>
    <t>ООО "СК "Балтийский регион"</t>
  </si>
  <si>
    <t>ООО "РЕММОСТ"</t>
  </si>
  <si>
    <t>ЗАО "Буер"</t>
  </si>
  <si>
    <t>"НордСтройТранс"</t>
  </si>
  <si>
    <t>ЗАО "Ювенал"</t>
  </si>
  <si>
    <t>Мост через реку Вуокса на км 75+130 а/д Комсомольское-Приозерск</t>
  </si>
  <si>
    <t>Мост через реку Вуокса на км 68+208а/д Комсомольское-Приозерск</t>
  </si>
  <si>
    <t>Мост через реку Волчья на км 28+949 а/д Пески -Сосново-Подгорье</t>
  </si>
  <si>
    <t>Ремонт труб в Выборгском районе</t>
  </si>
  <si>
    <t>Экономия по торгам и отпавшие работы</t>
  </si>
  <si>
    <t>0/12,0</t>
  </si>
  <si>
    <t>Бокситогорский    район</t>
  </si>
  <si>
    <t>Большой Двор - Пакшеево-Самойлово" км 23+973 - км 23+985</t>
  </si>
  <si>
    <t>Мост через реку Мга на км 22+440 а/д Павлово-Мга-Любань - Шапки-Любань - Оредеж-Луга</t>
  </si>
  <si>
    <t>Павлово-Мга-Любань - Шапки-Любань - Оредеж-Луга км 7+608- км 7+612</t>
  </si>
  <si>
    <t>Мост через реку Кобона на км 15+797 а/д Лаврово - Кобона - сухое</t>
  </si>
  <si>
    <t>Аннино - Разбегаево км 3+000 - км 3+044</t>
  </si>
  <si>
    <t>Лодейное - Поле - Тихвин - Будогощь - Чудово км 0+360 - км 0+400</t>
  </si>
  <si>
    <t>Ретюнь - Волошово - Сара Гора км 19+846 - км 19+854</t>
  </si>
  <si>
    <t>Вороний Остров - Александровка км 2+640 - км 2+840</t>
  </si>
  <si>
    <t>Рублево - Турово - Малиновка км 0+660 - км 0+663, км 1+725 - км 1,728</t>
  </si>
  <si>
    <t>Ям-Ижора - Никольское км 9+835 - км 10+025</t>
  </si>
  <si>
    <t>Подъезд к дер.Захожье км 1+000 - км 2+300 (выборочно)</t>
  </si>
  <si>
    <t>Алексино-Сясьстрой км 8+200 - км 8+812</t>
  </si>
  <si>
    <t>Орехово - Сосново - Кривко - ж.д. ст.Петяярви км 0+750 - км 1+450</t>
  </si>
  <si>
    <t>Подъезд к г.Колпино км 0+000 - км 1+200</t>
  </si>
  <si>
    <t>Мост через реку Пагуба на км 19+102 автодороги Ретюнь -Волошово - Сара Гора</t>
  </si>
  <si>
    <t>Мост через реку Ковра на км 4+199 а/д Подъезд к ст.Жихарево</t>
  </si>
  <si>
    <t>Комбаково 0 Шапша - Печеницы км 2+000 - км 15+000 (выборочно)</t>
  </si>
  <si>
    <t>Зеленогорск-Приморск-Выборг, км 93+000 - км 108+000, км 116+950 - км 118+500 (выборочно)</t>
  </si>
  <si>
    <t>Выборг - Светогорск км 8+000 - км 16+000 (выборочно)</t>
  </si>
  <si>
    <t>Юкки-Кузьмолово" км 7+790 - км 12+000</t>
  </si>
  <si>
    <t>Санкт-Петербург - Колтуши, км 7+290 - км 9+533</t>
  </si>
  <si>
    <t>ГП "Кировское ДРСУ"</t>
  </si>
  <si>
    <t>ГП "Пригородное ДРЭУ"</t>
  </si>
  <si>
    <t>ГП "Лоденопольское ДРСУ"</t>
  </si>
  <si>
    <t>ООО "Дорожная компания Тракт"</t>
  </si>
  <si>
    <t>ГП "Лужское ДРСУ"</t>
  </si>
  <si>
    <t>АОА "Тосненское ДРСУ"</t>
  </si>
  <si>
    <t>ГП "Бокситогорское ДРСУ"</t>
  </si>
  <si>
    <t>ООО "А-Проект"</t>
  </si>
  <si>
    <t>Экономия при расчете сметной стоимости</t>
  </si>
  <si>
    <t>9,290/12,0</t>
  </si>
  <si>
    <t>Петрозаводск - Ошта, км 138+191-км 138+269</t>
  </si>
  <si>
    <t>ГП "Лодейнопольское ДРСУ"</t>
  </si>
  <si>
    <t>ГП  "Всеволожское ДРСУ"</t>
  </si>
  <si>
    <t>ГП "Выборгское ДРЭУ"</t>
  </si>
  <si>
    <t>ГП "Приозерское ДРСУ"</t>
  </si>
  <si>
    <t>ГП  "Всеволожское ДРСУ", ГП "Призерское ДРСУ", ГП "Всеволожское ДРСУ"</t>
  </si>
  <si>
    <t>ООО "РемСЭД", ГП "Всеволожское ДРСУ"</t>
  </si>
  <si>
    <t>ГП "Гатчинское ДРСУ", ГП "Всеволожское ДРСУ"</t>
  </si>
  <si>
    <t>ГП "Гатчинское ДРСУ", ГП "Волосовское ДРСУ"</t>
  </si>
  <si>
    <t>ГП "Лодейнопольское ДРСУ", ГП "Бокситогорское ДРСУ"</t>
  </si>
  <si>
    <t>ГП "Лодейнопольское ДРСУ",  ГП "Бокситогорское ДРСУ"</t>
  </si>
  <si>
    <t>ГП "Гатчинское ДРСУ", ГП "Всеволожское ДРСУ",</t>
  </si>
  <si>
    <t>ГП  "Всеволожское ДРСУ", ГП "Пригородное ДРЭУ"</t>
  </si>
  <si>
    <t>ООО "ЭСКО", ГП "Лужское ДРСУ"</t>
  </si>
  <si>
    <t>118,46/12,0</t>
  </si>
  <si>
    <t>/22,45</t>
  </si>
  <si>
    <t>10,522/22,45</t>
  </si>
  <si>
    <t>Расшифровка объемов выполнения работ по  строительству (реконструкции), содержанию, капитальному ремонту и ремонту автомобильных дорог общего пользования регионального и межмуниципального значения  за январь-декабрь 2016 года.</t>
  </si>
  <si>
    <t xml:space="preserve"> Государственная программа ЛО   «Развитие автомобильных дорог Ленинградской области». Подпрограммы "Развитие сети автомобильных дорог Ленинградской области" и  "Поддержание существующей сети автомобильных дорог общего пользования" </t>
  </si>
  <si>
    <t>Строительство подъезда к г. Всеволожск</t>
  </si>
  <si>
    <t>Строительство транспортной развязки на пересечении автомобильной дороги "Санкт-Петербург- завод им.Свердлова- Всеволожск (км39) с железной дорогой на  перегоне Всеволожск-Мельничный Ручей во Всеволожском районе Ленинградской области.</t>
  </si>
  <si>
    <t xml:space="preserve">Строительство автодорожного путепровода на  станции Возрождение участка Выборг-Каменногорск взамен закрываемого переезда на ПК 229+44.20 </t>
  </si>
  <si>
    <t>Строительство автодорожного путепровода на перегоне Таммисуо-Гвардейское участка Выборг-Каменногорск взамен закрываемых переездов на ПК 105+00.00, ПК 106+38.30</t>
  </si>
  <si>
    <t>Строительство автодорожного путепровода на перегоне Выборг-Таммисуо участка  Выборг-Каменногорск взамен  закрываемых переездов на ПК 26+30.92, ПК 1276+10.80 и ПК 15+89.60</t>
  </si>
  <si>
    <t>Реконструкция мостового перехода через реку Сторожевая на км 24 автодорожного маршрута Выборг-Комсомольское-Светогорск</t>
  </si>
  <si>
    <t>Реконструкция моста через реку Петлянка на км 23+769 автомобильной дороги "Молодежное-Верхнее Черкасово" в Выборгском районе Ленинградской области</t>
  </si>
  <si>
    <t>Строительство путепровода в месте пересечения железнодорожных путей и автомобильной дороги общего пользования "Подъезд к г.Гатчина-2" (2 этап)</t>
  </si>
  <si>
    <t>Реконструкция автомобильной дороги общего пользования регионального значения "Подъезд к г.Гатчина-1"</t>
  </si>
  <si>
    <t xml:space="preserve">Реконструкция  автомобильной дороги  "Красное Село-Гатчина-Павловск", на участке км 14+600- км 18+000 </t>
  </si>
  <si>
    <t>Проектно-изыскательские работы будущих лет</t>
  </si>
  <si>
    <t>Строительство мостового перехода через реку Волхов на подъезде к г.Кириши в Киришском районе Ленинградской области</t>
  </si>
  <si>
    <t>Итого по строительству и реконструкции автомобильных дорог общего пользования регионального и межмуниципального значения</t>
  </si>
  <si>
    <t>Строительство путепровода в месте пересечения железнодорожных путей и автомобильной дороги общего пользования "Подъезд к г. Гатчина-2" (1 этап)</t>
  </si>
  <si>
    <t>п. 1 Мероприятия по строительству и реконструкции автомобильных дорог общего пользования регионального и межмуниципального значения</t>
  </si>
  <si>
    <t>ЗАО "Пилон"</t>
  </si>
  <si>
    <t>ЗАО"Пилон"</t>
  </si>
  <si>
    <t>АО "ГСК"</t>
  </si>
  <si>
    <t>ООО"ВИК"</t>
  </si>
  <si>
    <t>ЗАО «Институт геоурбанистики и проектирования «РосГеоПроект»</t>
  </si>
  <si>
    <t>0,196/44 ,0</t>
  </si>
  <si>
    <t>1,189/ 402,635</t>
  </si>
  <si>
    <t>1,385/446,635</t>
  </si>
  <si>
    <t>2,885/446,635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</si>
</sst>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_ ;\-0.00\ "/>
    <numFmt numFmtId="183" formatCode="0.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0"/>
    <numFmt numFmtId="191" formatCode="0.0000"/>
    <numFmt numFmtId="192" formatCode="#,##0.0000"/>
    <numFmt numFmtId="193" formatCode="#,##0.000000"/>
    <numFmt numFmtId="194" formatCode="#,##0.0000000"/>
    <numFmt numFmtId="195" formatCode="_(* #,##0.000_);_(* \(#,##0.000\);_(* &quot;-&quot;??_);_(@_)"/>
    <numFmt numFmtId="196" formatCode="_-* #,##0.000_р_._-;\-* #,##0.000_р_._-;_-* &quot;-&quot;???_р_._-;_-@_-"/>
    <numFmt numFmtId="197" formatCode="#,##0.00000_р_."/>
    <numFmt numFmtId="198" formatCode="0.0%"/>
    <numFmt numFmtId="199" formatCode="\ #,##0.00&quot;р. &quot;;\-#,##0.00&quot;р. &quot;;&quot; -&quot;#&quot;р. &quot;;@\ "/>
    <numFmt numFmtId="200" formatCode="#,##0.000_р_."/>
  </numFmts>
  <fonts count="41">
    <font>
      <sz val="10"/>
      <name val="Arial"/>
      <family val="0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4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22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vertical="top" textRotation="90" wrapText="1"/>
    </xf>
    <xf numFmtId="49" fontId="25" fillId="0" borderId="0" xfId="0" applyNumberFormat="1" applyFont="1" applyFill="1" applyAlignment="1">
      <alignment vertical="center" wrapText="1"/>
    </xf>
    <xf numFmtId="180" fontId="22" fillId="0" borderId="0" xfId="0" applyNumberFormat="1" applyFont="1" applyFill="1" applyAlignment="1">
      <alignment horizontal="right" vertical="center" wrapText="1"/>
    </xf>
    <xf numFmtId="0" fontId="25" fillId="24" borderId="0" xfId="57" applyFont="1" applyFill="1" applyAlignment="1">
      <alignment vertical="center" textRotation="90" wrapText="1"/>
      <protection/>
    </xf>
    <xf numFmtId="0" fontId="25" fillId="24" borderId="0" xfId="57" applyFont="1" applyFill="1" applyAlignment="1">
      <alignment vertical="center" wrapText="1"/>
      <protection/>
    </xf>
    <xf numFmtId="0" fontId="26" fillId="24" borderId="0" xfId="57" applyFont="1" applyFill="1" applyAlignment="1">
      <alignment horizontal="center" vertical="center" wrapText="1"/>
      <protection/>
    </xf>
    <xf numFmtId="0" fontId="26" fillId="24" borderId="0" xfId="57" applyFont="1" applyFill="1" applyAlignment="1">
      <alignment horizontal="center" vertical="center" textRotation="90" wrapText="1"/>
      <protection/>
    </xf>
    <xf numFmtId="2" fontId="26" fillId="24" borderId="0" xfId="57" applyNumberFormat="1" applyFont="1" applyFill="1" applyAlignment="1">
      <alignment horizontal="center" vertical="center" wrapText="1"/>
      <protection/>
    </xf>
    <xf numFmtId="1" fontId="26" fillId="24" borderId="0" xfId="57" applyNumberFormat="1" applyFont="1" applyFill="1" applyAlignment="1">
      <alignment horizontal="center" vertical="center" wrapText="1"/>
      <protection/>
    </xf>
    <xf numFmtId="181" fontId="26" fillId="24" borderId="0" xfId="57" applyNumberFormat="1" applyFont="1" applyFill="1" applyAlignment="1">
      <alignment horizontal="center" vertical="center" wrapText="1"/>
      <protection/>
    </xf>
    <xf numFmtId="1" fontId="22" fillId="24" borderId="10" xfId="57" applyNumberFormat="1" applyFont="1" applyFill="1" applyBorder="1" applyAlignment="1">
      <alignment horizontal="center" vertical="center" wrapText="1"/>
      <protection/>
    </xf>
    <xf numFmtId="181" fontId="22" fillId="24" borderId="10" xfId="57" applyNumberFormat="1" applyFont="1" applyFill="1" applyBorder="1" applyAlignment="1">
      <alignment horizontal="center" vertical="center" wrapText="1"/>
      <protection/>
    </xf>
    <xf numFmtId="181" fontId="23" fillId="24" borderId="10" xfId="57" applyNumberFormat="1" applyFont="1" applyFill="1" applyBorder="1" applyAlignment="1">
      <alignment horizontal="center" vertical="center" wrapText="1"/>
      <protection/>
    </xf>
    <xf numFmtId="2" fontId="25" fillId="24" borderId="0" xfId="57" applyNumberFormat="1" applyFont="1" applyFill="1" applyAlignment="1">
      <alignment vertical="center" wrapText="1"/>
      <protection/>
    </xf>
    <xf numFmtId="2" fontId="22" fillId="0" borderId="0" xfId="0" applyNumberFormat="1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vertical="center" wrapText="1"/>
    </xf>
    <xf numFmtId="180" fontId="28" fillId="24" borderId="10" xfId="0" applyNumberFormat="1" applyFont="1" applyFill="1" applyBorder="1" applyAlignment="1">
      <alignment horizontal="left" vertical="center" wrapText="1"/>
    </xf>
    <xf numFmtId="1" fontId="23" fillId="24" borderId="10" xfId="57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190" fontId="31" fillId="25" borderId="10" xfId="0" applyNumberFormat="1" applyFont="1" applyFill="1" applyBorder="1" applyAlignment="1">
      <alignment vertical="center" wrapText="1"/>
    </xf>
    <xf numFmtId="190" fontId="32" fillId="25" borderId="10" xfId="0" applyNumberFormat="1" applyFont="1" applyFill="1" applyBorder="1" applyAlignment="1">
      <alignment vertical="center" wrapText="1"/>
    </xf>
    <xf numFmtId="181" fontId="22" fillId="25" borderId="10" xfId="56" applyNumberFormat="1" applyFont="1" applyFill="1" applyBorder="1" applyAlignment="1">
      <alignment horizontal="center" vertical="center" wrapText="1"/>
      <protection/>
    </xf>
    <xf numFmtId="181" fontId="23" fillId="25" borderId="10" xfId="56" applyNumberFormat="1" applyFont="1" applyFill="1" applyBorder="1" applyAlignment="1">
      <alignment horizontal="center" vertical="center" wrapText="1"/>
      <protection/>
    </xf>
    <xf numFmtId="0" fontId="23" fillId="25" borderId="10" xfId="56" applyFont="1" applyFill="1" applyBorder="1" applyAlignment="1">
      <alignment horizontal="center" vertical="center" wrapText="1"/>
      <protection/>
    </xf>
    <xf numFmtId="0" fontId="22" fillId="25" borderId="10" xfId="56" applyFont="1" applyFill="1" applyBorder="1" applyAlignment="1">
      <alignment horizontal="center" vertical="center" wrapText="1"/>
      <protection/>
    </xf>
    <xf numFmtId="0" fontId="22" fillId="25" borderId="10" xfId="56" applyFont="1" applyFill="1" applyBorder="1" applyAlignment="1">
      <alignment horizontal="left" vertical="center" wrapText="1"/>
      <protection/>
    </xf>
    <xf numFmtId="190" fontId="23" fillId="25" borderId="10" xfId="56" applyNumberFormat="1" applyFont="1" applyFill="1" applyBorder="1" applyAlignment="1">
      <alignment horizontal="center" textRotation="255" wrapText="1"/>
      <protection/>
    </xf>
    <xf numFmtId="190" fontId="23" fillId="25" borderId="10" xfId="56" applyNumberFormat="1" applyFont="1" applyFill="1" applyBorder="1" applyAlignment="1">
      <alignment horizontal="center" vertical="center" wrapText="1"/>
      <protection/>
    </xf>
    <xf numFmtId="180" fontId="23" fillId="25" borderId="10" xfId="56" applyNumberFormat="1" applyFont="1" applyFill="1" applyBorder="1" applyAlignment="1">
      <alignment horizontal="center" vertical="center" wrapText="1"/>
      <protection/>
    </xf>
    <xf numFmtId="49" fontId="22" fillId="25" borderId="10" xfId="0" applyNumberFormat="1" applyFont="1" applyFill="1" applyBorder="1" applyAlignment="1">
      <alignment vertical="center" wrapText="1"/>
    </xf>
    <xf numFmtId="1" fontId="22" fillId="25" borderId="10" xfId="57" applyNumberFormat="1" applyFont="1" applyFill="1" applyBorder="1" applyAlignment="1">
      <alignment horizontal="center" vertical="center" wrapText="1"/>
      <protection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181" fontId="33" fillId="0" borderId="10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90" fontId="22" fillId="26" borderId="10" xfId="56" applyNumberFormat="1" applyFont="1" applyFill="1" applyBorder="1" applyAlignment="1">
      <alignment horizontal="center" vertical="center" wrapText="1"/>
      <protection/>
    </xf>
    <xf numFmtId="190" fontId="22" fillId="25" borderId="10" xfId="56" applyNumberFormat="1" applyFont="1" applyFill="1" applyBorder="1" applyAlignment="1">
      <alignment horizontal="center" vertical="center" wrapText="1"/>
      <protection/>
    </xf>
    <xf numFmtId="190" fontId="23" fillId="26" borderId="10" xfId="56" applyNumberFormat="1" applyFont="1" applyFill="1" applyBorder="1" applyAlignment="1">
      <alignment horizontal="center" vertical="center" wrapText="1"/>
      <protection/>
    </xf>
    <xf numFmtId="181" fontId="23" fillId="26" borderId="10" xfId="56" applyNumberFormat="1" applyFont="1" applyFill="1" applyBorder="1" applyAlignment="1">
      <alignment horizontal="center" vertical="center" wrapText="1"/>
      <protection/>
    </xf>
    <xf numFmtId="1" fontId="22" fillId="24" borderId="10" xfId="57" applyNumberFormat="1" applyFont="1" applyFill="1" applyBorder="1" applyAlignment="1">
      <alignment horizontal="left" vertical="center" wrapText="1"/>
      <protection/>
    </xf>
    <xf numFmtId="1" fontId="22" fillId="25" borderId="10" xfId="57" applyNumberFormat="1" applyFont="1" applyFill="1" applyBorder="1" applyAlignment="1">
      <alignment horizontal="left" vertical="center" wrapText="1"/>
      <protection/>
    </xf>
    <xf numFmtId="181" fontId="23" fillId="25" borderId="10" xfId="57" applyNumberFormat="1" applyFont="1" applyFill="1" applyBorder="1" applyAlignment="1">
      <alignment horizontal="center" vertical="center" wrapText="1"/>
      <protection/>
    </xf>
    <xf numFmtId="181" fontId="22" fillId="25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181" fontId="0" fillId="0" borderId="10" xfId="0" applyNumberFormat="1" applyFont="1" applyBorder="1" applyAlignment="1">
      <alignment/>
    </xf>
    <xf numFmtId="180" fontId="28" fillId="24" borderId="10" xfId="0" applyNumberFormat="1" applyFont="1" applyFill="1" applyBorder="1" applyAlignment="1">
      <alignment vertical="center" wrapText="1"/>
    </xf>
    <xf numFmtId="181" fontId="22" fillId="25" borderId="10" xfId="56" applyNumberFormat="1" applyFont="1" applyFill="1" applyBorder="1" applyAlignment="1">
      <alignment horizontal="center" vertical="center" wrapText="1"/>
      <protection/>
    </xf>
    <xf numFmtId="180" fontId="22" fillId="25" borderId="10" xfId="56" applyNumberFormat="1" applyFont="1" applyFill="1" applyBorder="1" applyAlignment="1">
      <alignment horizontal="center" vertical="center" wrapText="1"/>
      <protection/>
    </xf>
    <xf numFmtId="181" fontId="22" fillId="0" borderId="10" xfId="0" applyNumberFormat="1" applyFont="1" applyFill="1" applyBorder="1" applyAlignment="1">
      <alignment horizontal="center" vertical="center" wrapText="1"/>
    </xf>
    <xf numFmtId="190" fontId="31" fillId="26" borderId="10" xfId="0" applyNumberFormat="1" applyFont="1" applyFill="1" applyBorder="1" applyAlignment="1">
      <alignment vertical="center" wrapText="1"/>
    </xf>
    <xf numFmtId="181" fontId="22" fillId="26" borderId="10" xfId="56" applyNumberFormat="1" applyFont="1" applyFill="1" applyBorder="1" applyAlignment="1">
      <alignment horizontal="center" vertical="center" wrapText="1"/>
      <protection/>
    </xf>
    <xf numFmtId="49" fontId="22" fillId="25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49" fontId="28" fillId="27" borderId="11" xfId="33" applyNumberFormat="1" applyFont="1" applyFill="1" applyBorder="1" applyAlignment="1">
      <alignment vertical="center" wrapText="1"/>
      <protection/>
    </xf>
    <xf numFmtId="49" fontId="28" fillId="27" borderId="12" xfId="33" applyNumberFormat="1" applyFont="1" applyFill="1" applyBorder="1" applyAlignment="1">
      <alignment horizontal="center" vertical="center" wrapText="1"/>
      <protection/>
    </xf>
    <xf numFmtId="49" fontId="28" fillId="27" borderId="11" xfId="33" applyNumberFormat="1" applyFont="1" applyFill="1" applyBorder="1" applyAlignment="1">
      <alignment horizontal="center" vertical="center" wrapText="1"/>
      <protection/>
    </xf>
    <xf numFmtId="49" fontId="28" fillId="27" borderId="11" xfId="33" applyNumberFormat="1" applyFont="1" applyFill="1" applyBorder="1" applyAlignment="1">
      <alignment horizontal="center" vertical="center" wrapText="1"/>
      <protection/>
    </xf>
    <xf numFmtId="49" fontId="28" fillId="27" borderId="13" xfId="33" applyNumberFormat="1" applyFont="1" applyFill="1" applyBorder="1" applyAlignment="1">
      <alignment horizontal="center" vertical="center" wrapText="1"/>
      <protection/>
    </xf>
    <xf numFmtId="49" fontId="36" fillId="27" borderId="11" xfId="33" applyNumberFormat="1" applyFont="1" applyFill="1" applyBorder="1" applyAlignment="1">
      <alignment horizontal="center" vertical="center" textRotation="90" wrapText="1"/>
      <protection/>
    </xf>
    <xf numFmtId="49" fontId="28" fillId="27" borderId="14" xfId="33" applyNumberFormat="1" applyFont="1" applyFill="1" applyBorder="1" applyAlignment="1">
      <alignment horizontal="center" vertical="center" wrapText="1"/>
      <protection/>
    </xf>
    <xf numFmtId="1" fontId="23" fillId="25" borderId="15" xfId="57" applyNumberFormat="1" applyFont="1" applyFill="1" applyBorder="1" applyAlignment="1">
      <alignment horizontal="center" vertical="center" wrapText="1"/>
      <protection/>
    </xf>
    <xf numFmtId="181" fontId="23" fillId="25" borderId="15" xfId="57" applyNumberFormat="1" applyFont="1" applyFill="1" applyBorder="1" applyAlignment="1">
      <alignment horizontal="center" vertical="center" wrapText="1"/>
      <protection/>
    </xf>
    <xf numFmtId="49" fontId="28" fillId="27" borderId="13" xfId="33" applyNumberFormat="1" applyFont="1" applyFill="1" applyBorder="1" applyAlignment="1">
      <alignment vertical="center" wrapText="1"/>
      <protection/>
    </xf>
    <xf numFmtId="1" fontId="23" fillId="25" borderId="16" xfId="57" applyNumberFormat="1" applyFont="1" applyFill="1" applyBorder="1" applyAlignment="1">
      <alignment horizontal="center" vertical="center" wrapText="1"/>
      <protection/>
    </xf>
    <xf numFmtId="181" fontId="23" fillId="25" borderId="16" xfId="57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/>
    </xf>
    <xf numFmtId="49" fontId="28" fillId="27" borderId="10" xfId="33" applyNumberFormat="1" applyFont="1" applyFill="1" applyBorder="1" applyAlignment="1">
      <alignment horizontal="center" vertical="center" wrapText="1"/>
      <protection/>
    </xf>
    <xf numFmtId="49" fontId="28" fillId="27" borderId="10" xfId="33" applyNumberFormat="1" applyFont="1" applyFill="1" applyBorder="1" applyAlignment="1">
      <alignment vertical="center" wrapText="1"/>
      <protection/>
    </xf>
    <xf numFmtId="49" fontId="22" fillId="27" borderId="11" xfId="33" applyNumberFormat="1" applyFont="1" applyFill="1" applyBorder="1" applyAlignment="1">
      <alignment vertical="center" wrapText="1"/>
      <protection/>
    </xf>
    <xf numFmtId="181" fontId="22" fillId="27" borderId="10" xfId="33" applyNumberFormat="1" applyFont="1" applyFill="1" applyBorder="1" applyAlignment="1">
      <alignment horizontal="center" vertical="center" wrapText="1"/>
      <protection/>
    </xf>
    <xf numFmtId="0" fontId="37" fillId="27" borderId="17" xfId="33" applyFont="1" applyFill="1" applyBorder="1">
      <alignment/>
      <protection/>
    </xf>
    <xf numFmtId="181" fontId="23" fillId="27" borderId="10" xfId="33" applyNumberFormat="1" applyFont="1" applyFill="1" applyBorder="1" applyAlignment="1">
      <alignment horizontal="center" vertical="center" wrapText="1"/>
      <protection/>
    </xf>
    <xf numFmtId="0" fontId="22" fillId="27" borderId="11" xfId="33" applyFont="1" applyFill="1" applyBorder="1" applyAlignment="1">
      <alignment vertical="center" wrapText="1"/>
      <protection/>
    </xf>
    <xf numFmtId="180" fontId="22" fillId="27" borderId="18" xfId="33" applyNumberFormat="1" applyFont="1" applyFill="1" applyBorder="1" applyAlignment="1">
      <alignment horizontal="center" vertical="center" wrapText="1"/>
      <protection/>
    </xf>
    <xf numFmtId="0" fontId="22" fillId="27" borderId="11" xfId="33" applyFont="1" applyFill="1" applyBorder="1" applyAlignment="1">
      <alignment wrapText="1"/>
      <protection/>
    </xf>
    <xf numFmtId="0" fontId="37" fillId="27" borderId="19" xfId="33" applyFont="1" applyFill="1" applyBorder="1">
      <alignment/>
      <protection/>
    </xf>
    <xf numFmtId="181" fontId="23" fillId="27" borderId="15" xfId="33" applyNumberFormat="1" applyFont="1" applyFill="1" applyBorder="1" applyAlignment="1">
      <alignment horizontal="center" vertical="center" wrapText="1"/>
      <protection/>
    </xf>
    <xf numFmtId="0" fontId="22" fillId="27" borderId="10" xfId="33" applyFont="1" applyFill="1" applyBorder="1" applyAlignment="1">
      <alignment vertical="center" wrapText="1"/>
      <protection/>
    </xf>
    <xf numFmtId="0" fontId="37" fillId="27" borderId="10" xfId="33" applyFont="1" applyFill="1" applyBorder="1">
      <alignment/>
      <protection/>
    </xf>
    <xf numFmtId="49" fontId="22" fillId="27" borderId="10" xfId="33" applyNumberFormat="1" applyFont="1" applyFill="1" applyBorder="1" applyAlignment="1">
      <alignment vertical="center" wrapText="1"/>
      <protection/>
    </xf>
    <xf numFmtId="180" fontId="22" fillId="27" borderId="10" xfId="33" applyNumberFormat="1" applyFont="1" applyFill="1" applyBorder="1" applyAlignment="1">
      <alignment horizontal="center" vertical="center" wrapText="1"/>
      <protection/>
    </xf>
    <xf numFmtId="0" fontId="31" fillId="27" borderId="10" xfId="33" applyFont="1" applyFill="1" applyBorder="1" applyAlignment="1">
      <alignment vertical="center" wrapText="1"/>
      <protection/>
    </xf>
    <xf numFmtId="181" fontId="31" fillId="27" borderId="10" xfId="33" applyNumberFormat="1" applyFont="1" applyFill="1" applyBorder="1" applyAlignment="1">
      <alignment horizontal="center" vertical="center" wrapText="1"/>
      <protection/>
    </xf>
    <xf numFmtId="0" fontId="37" fillId="27" borderId="20" xfId="33" applyFont="1" applyFill="1" applyBorder="1">
      <alignment/>
      <protection/>
    </xf>
    <xf numFmtId="181" fontId="23" fillId="27" borderId="16" xfId="33" applyNumberFormat="1" applyFont="1" applyFill="1" applyBorder="1" applyAlignment="1">
      <alignment horizontal="center" vertical="center" wrapText="1"/>
      <protection/>
    </xf>
    <xf numFmtId="0" fontId="22" fillId="27" borderId="11" xfId="33" applyFont="1" applyFill="1" applyBorder="1" applyAlignment="1">
      <alignment horizontal="left" vertical="center" wrapText="1"/>
      <protection/>
    </xf>
    <xf numFmtId="180" fontId="22" fillId="27" borderId="17" xfId="33" applyNumberFormat="1" applyFont="1" applyFill="1" applyBorder="1" applyAlignment="1">
      <alignment horizontal="center" vertical="center" wrapText="1"/>
      <protection/>
    </xf>
    <xf numFmtId="0" fontId="22" fillId="27" borderId="11" xfId="33" applyFont="1" applyFill="1" applyBorder="1" applyAlignment="1">
      <alignment horizontal="justify" vertical="center" wrapText="1"/>
      <protection/>
    </xf>
    <xf numFmtId="0" fontId="38" fillId="27" borderId="17" xfId="33" applyFont="1" applyFill="1" applyBorder="1">
      <alignment/>
      <protection/>
    </xf>
    <xf numFmtId="0" fontId="22" fillId="27" borderId="11" xfId="33" applyFont="1" applyFill="1" applyBorder="1" applyAlignment="1">
      <alignment horizontal="left" vertical="top" wrapText="1"/>
      <protection/>
    </xf>
    <xf numFmtId="180" fontId="22" fillId="27" borderId="19" xfId="33" applyNumberFormat="1" applyFont="1" applyFill="1" applyBorder="1" applyAlignment="1">
      <alignment horizontal="center" vertical="center" wrapText="1"/>
      <protection/>
    </xf>
    <xf numFmtId="49" fontId="22" fillId="27" borderId="11" xfId="33" applyNumberFormat="1" applyFont="1" applyFill="1" applyBorder="1" applyAlignment="1">
      <alignment horizontal="left" vertical="top" wrapText="1"/>
      <protection/>
    </xf>
    <xf numFmtId="180" fontId="22" fillId="27" borderId="21" xfId="33" applyNumberFormat="1" applyFont="1" applyFill="1" applyBorder="1" applyAlignment="1">
      <alignment horizontal="center" vertical="center" wrapText="1"/>
      <protection/>
    </xf>
    <xf numFmtId="180" fontId="28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22" fillId="27" borderId="10" xfId="33" applyNumberFormat="1" applyFont="1" applyFill="1" applyBorder="1" applyAlignment="1">
      <alignment horizontal="center" vertical="center" wrapText="1"/>
      <protection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0" fontId="22" fillId="26" borderId="14" xfId="33" applyFont="1" applyFill="1" applyBorder="1" applyAlignment="1">
      <alignment horizontal="left" vertical="center" wrapText="1"/>
      <protection/>
    </xf>
    <xf numFmtId="181" fontId="22" fillId="27" borderId="15" xfId="33" applyNumberFormat="1" applyFont="1" applyFill="1" applyBorder="1" applyAlignment="1">
      <alignment horizontal="center" vertical="center" wrapText="1"/>
      <protection/>
    </xf>
    <xf numFmtId="0" fontId="38" fillId="27" borderId="10" xfId="33" applyFont="1" applyFill="1" applyBorder="1">
      <alignment/>
      <protection/>
    </xf>
    <xf numFmtId="0" fontId="37" fillId="25" borderId="10" xfId="55" applyFont="1" applyFill="1" applyBorder="1">
      <alignment/>
      <protection/>
    </xf>
    <xf numFmtId="0" fontId="22" fillId="27" borderId="10" xfId="33" applyFont="1" applyFill="1" applyBorder="1" applyAlignment="1">
      <alignment horizontal="left" vertical="center" wrapText="1"/>
      <protection/>
    </xf>
    <xf numFmtId="0" fontId="22" fillId="27" borderId="10" xfId="33" applyFont="1" applyFill="1" applyBorder="1" applyAlignment="1">
      <alignment horizontal="left" vertical="center"/>
      <protection/>
    </xf>
    <xf numFmtId="181" fontId="25" fillId="25" borderId="10" xfId="56" applyNumberFormat="1" applyFont="1" applyFill="1" applyBorder="1" applyAlignment="1">
      <alignment horizontal="center" vertical="center" wrapText="1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180" fontId="23" fillId="25" borderId="10" xfId="57" applyNumberFormat="1" applyFont="1" applyFill="1" applyBorder="1" applyAlignment="1">
      <alignment horizontal="center" vertical="center" wrapText="1"/>
      <protection/>
    </xf>
    <xf numFmtId="180" fontId="33" fillId="0" borderId="10" xfId="0" applyNumberFormat="1" applyFont="1" applyFill="1" applyBorder="1" applyAlignment="1">
      <alignment horizontal="right" vertical="center" wrapText="1"/>
    </xf>
    <xf numFmtId="180" fontId="22" fillId="25" borderId="10" xfId="57" applyNumberFormat="1" applyFont="1" applyFill="1" applyBorder="1" applyAlignment="1">
      <alignment horizontal="center" vertical="center" wrapText="1"/>
      <protection/>
    </xf>
    <xf numFmtId="180" fontId="22" fillId="25" borderId="15" xfId="57" applyNumberFormat="1" applyFont="1" applyFill="1" applyBorder="1" applyAlignment="1">
      <alignment horizontal="center" vertical="center" wrapText="1"/>
      <protection/>
    </xf>
    <xf numFmtId="180" fontId="23" fillId="27" borderId="10" xfId="33" applyNumberFormat="1" applyFont="1" applyFill="1" applyBorder="1" applyAlignment="1">
      <alignment horizontal="center" vertical="center" wrapText="1"/>
      <protection/>
    </xf>
    <xf numFmtId="180" fontId="23" fillId="27" borderId="15" xfId="33" applyNumberFormat="1" applyFont="1" applyFill="1" applyBorder="1" applyAlignment="1">
      <alignment horizontal="center" vertical="center" wrapText="1"/>
      <protection/>
    </xf>
    <xf numFmtId="180" fontId="23" fillId="27" borderId="16" xfId="33" applyNumberFormat="1" applyFont="1" applyFill="1" applyBorder="1" applyAlignment="1">
      <alignment horizontal="center" vertical="center" wrapText="1"/>
      <protection/>
    </xf>
    <xf numFmtId="180" fontId="22" fillId="27" borderId="22" xfId="33" applyNumberFormat="1" applyFont="1" applyFill="1" applyBorder="1" applyAlignment="1">
      <alignment horizontal="center" vertical="center" wrapText="1"/>
      <protection/>
    </xf>
    <xf numFmtId="180" fontId="22" fillId="27" borderId="16" xfId="33" applyNumberFormat="1" applyFont="1" applyFill="1" applyBorder="1" applyAlignment="1">
      <alignment horizontal="center" vertical="center" wrapText="1"/>
      <protection/>
    </xf>
    <xf numFmtId="181" fontId="2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1" fontId="33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181" fontId="22" fillId="0" borderId="10" xfId="0" applyNumberFormat="1" applyFont="1" applyBorder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/>
    </xf>
    <xf numFmtId="200" fontId="22" fillId="0" borderId="10" xfId="0" applyNumberFormat="1" applyFont="1" applyFill="1" applyBorder="1" applyAlignment="1">
      <alignment horizontal="center" vertical="center" wrapText="1"/>
    </xf>
    <xf numFmtId="200" fontId="23" fillId="0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81" fontId="22" fillId="25" borderId="10" xfId="0" applyNumberFormat="1" applyFont="1" applyFill="1" applyBorder="1" applyAlignment="1">
      <alignment horizontal="center" vertical="center" wrapText="1"/>
    </xf>
    <xf numFmtId="181" fontId="22" fillId="25" borderId="15" xfId="0" applyNumberFormat="1" applyFont="1" applyFill="1" applyBorder="1" applyAlignment="1">
      <alignment horizontal="center" vertical="center" wrapText="1"/>
    </xf>
    <xf numFmtId="181" fontId="22" fillId="25" borderId="16" xfId="0" applyNumberFormat="1" applyFont="1" applyFill="1" applyBorder="1" applyAlignment="1">
      <alignment horizontal="center" vertical="center" wrapText="1"/>
    </xf>
    <xf numFmtId="181" fontId="33" fillId="0" borderId="10" xfId="0" applyNumberFormat="1" applyFont="1" applyBorder="1" applyAlignment="1">
      <alignment/>
    </xf>
    <xf numFmtId="181" fontId="33" fillId="28" borderId="10" xfId="0" applyNumberFormat="1" applyFont="1" applyFill="1" applyBorder="1" applyAlignment="1">
      <alignment/>
    </xf>
    <xf numFmtId="181" fontId="23" fillId="25" borderId="10" xfId="0" applyNumberFormat="1" applyFont="1" applyFill="1" applyBorder="1" applyAlignment="1">
      <alignment horizontal="center" vertical="center" wrapText="1"/>
    </xf>
    <xf numFmtId="181" fontId="23" fillId="25" borderId="15" xfId="0" applyNumberFormat="1" applyFont="1" applyFill="1" applyBorder="1" applyAlignment="1">
      <alignment horizontal="center" vertical="center" wrapText="1"/>
    </xf>
    <xf numFmtId="181" fontId="23" fillId="25" borderId="16" xfId="0" applyNumberFormat="1" applyFont="1" applyFill="1" applyBorder="1" applyAlignment="1">
      <alignment horizontal="center" vertical="center" wrapText="1"/>
    </xf>
    <xf numFmtId="181" fontId="25" fillId="25" borderId="10" xfId="57" applyNumberFormat="1" applyFont="1" applyFill="1" applyBorder="1" applyAlignment="1">
      <alignment horizontal="center" vertical="center" wrapText="1"/>
      <protection/>
    </xf>
    <xf numFmtId="181" fontId="40" fillId="0" borderId="10" xfId="0" applyNumberFormat="1" applyFont="1" applyBorder="1" applyAlignment="1">
      <alignment/>
    </xf>
    <xf numFmtId="180" fontId="28" fillId="25" borderId="10" xfId="0" applyNumberFormat="1" applyFont="1" applyFill="1" applyBorder="1" applyAlignment="1">
      <alignment horizontal="left" vertical="center" wrapText="1"/>
    </xf>
    <xf numFmtId="184" fontId="0" fillId="0" borderId="0" xfId="0" applyNumberFormat="1" applyFont="1" applyAlignment="1">
      <alignment/>
    </xf>
    <xf numFmtId="184" fontId="39" fillId="0" borderId="0" xfId="0" applyNumberFormat="1" applyFont="1" applyAlignment="1">
      <alignment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200" fontId="22" fillId="25" borderId="10" xfId="0" applyNumberFormat="1" applyFont="1" applyFill="1" applyBorder="1" applyAlignment="1">
      <alignment horizontal="center" vertical="center" wrapText="1"/>
    </xf>
    <xf numFmtId="200" fontId="23" fillId="25" borderId="10" xfId="0" applyNumberFormat="1" applyFont="1" applyFill="1" applyBorder="1" applyAlignment="1">
      <alignment horizontal="center" vertical="center" wrapText="1"/>
    </xf>
    <xf numFmtId="49" fontId="33" fillId="25" borderId="10" xfId="0" applyNumberFormat="1" applyFont="1" applyFill="1" applyBorder="1" applyAlignment="1">
      <alignment vertical="center" wrapText="1"/>
    </xf>
    <xf numFmtId="2" fontId="22" fillId="25" borderId="10" xfId="0" applyNumberFormat="1" applyFont="1" applyFill="1" applyBorder="1" applyAlignment="1">
      <alignment horizontal="center" vertical="center" wrapText="1"/>
    </xf>
    <xf numFmtId="190" fontId="22" fillId="26" borderId="10" xfId="0" applyNumberFormat="1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1" fontId="25" fillId="24" borderId="10" xfId="57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181" fontId="33" fillId="0" borderId="10" xfId="0" applyNumberFormat="1" applyFont="1" applyBorder="1" applyAlignment="1">
      <alignment wrapText="1"/>
    </xf>
    <xf numFmtId="181" fontId="33" fillId="0" borderId="10" xfId="0" applyNumberFormat="1" applyFont="1" applyBorder="1" applyAlignment="1">
      <alignment horizontal="center" vertical="center" wrapText="1"/>
    </xf>
    <xf numFmtId="181" fontId="36" fillId="0" borderId="10" xfId="0" applyNumberFormat="1" applyFont="1" applyBorder="1" applyAlignment="1">
      <alignment wrapText="1"/>
    </xf>
    <xf numFmtId="181" fontId="36" fillId="0" borderId="10" xfId="0" applyNumberFormat="1" applyFont="1" applyBorder="1" applyAlignment="1">
      <alignment horizontal="center" vertical="center" wrapText="1"/>
    </xf>
    <xf numFmtId="180" fontId="22" fillId="25" borderId="10" xfId="0" applyNumberFormat="1" applyFont="1" applyFill="1" applyBorder="1" applyAlignment="1">
      <alignment horizontal="center" vertical="center" wrapText="1"/>
    </xf>
    <xf numFmtId="180" fontId="22" fillId="27" borderId="18" xfId="33" applyNumberFormat="1" applyFont="1" applyFill="1" applyBorder="1" applyAlignment="1">
      <alignment horizontal="center" vertical="center" wrapText="1"/>
      <protection/>
    </xf>
    <xf numFmtId="180" fontId="22" fillId="27" borderId="23" xfId="33" applyNumberFormat="1" applyFont="1" applyFill="1" applyBorder="1" applyAlignment="1">
      <alignment horizontal="center" vertical="center" wrapText="1"/>
      <protection/>
    </xf>
    <xf numFmtId="180" fontId="28" fillId="2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80" fontId="22" fillId="27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28" fillId="27" borderId="10" xfId="33" applyNumberFormat="1" applyFont="1" applyFill="1" applyBorder="1" applyAlignment="1">
      <alignment horizontal="center" vertical="center" wrapText="1"/>
      <protection/>
    </xf>
    <xf numFmtId="49" fontId="28" fillId="27" borderId="11" xfId="33" applyNumberFormat="1" applyFont="1" applyFill="1" applyBorder="1" applyAlignment="1">
      <alignment horizontal="center" vertical="center" wrapText="1"/>
      <protection/>
    </xf>
    <xf numFmtId="190" fontId="32" fillId="25" borderId="10" xfId="0" applyNumberFormat="1" applyFont="1" applyFill="1" applyBorder="1" applyAlignment="1">
      <alignment horizontal="center" vertical="center" wrapText="1"/>
    </xf>
    <xf numFmtId="180" fontId="28" fillId="24" borderId="10" xfId="0" applyNumberFormat="1" applyFont="1" applyFill="1" applyBorder="1" applyAlignment="1">
      <alignment horizontal="center" vertical="center" wrapText="1"/>
    </xf>
    <xf numFmtId="1" fontId="23" fillId="24" borderId="10" xfId="57" applyNumberFormat="1" applyFont="1" applyFill="1" applyBorder="1" applyAlignment="1">
      <alignment horizontal="left" vertical="center" wrapText="1"/>
      <protection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180" fontId="28" fillId="25" borderId="10" xfId="0" applyNumberFormat="1" applyFont="1" applyFill="1" applyBorder="1" applyAlignment="1">
      <alignment horizontal="left" vertical="center" wrapText="1"/>
    </xf>
    <xf numFmtId="180" fontId="22" fillId="27" borderId="21" xfId="33" applyNumberFormat="1" applyFont="1" applyFill="1" applyBorder="1" applyAlignment="1">
      <alignment horizontal="center" vertical="center" wrapText="1"/>
      <protection/>
    </xf>
    <xf numFmtId="0" fontId="22" fillId="25" borderId="15" xfId="56" applyFont="1" applyFill="1" applyBorder="1" applyAlignment="1">
      <alignment horizontal="center" vertical="center" wrapText="1"/>
      <protection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1" fontId="22" fillId="25" borderId="10" xfId="57" applyNumberFormat="1" applyFont="1" applyFill="1" applyBorder="1" applyAlignment="1">
      <alignment horizontal="center" vertical="center" wrapText="1"/>
      <protection/>
    </xf>
    <xf numFmtId="1" fontId="28" fillId="24" borderId="10" xfId="57" applyNumberFormat="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180" fontId="28" fillId="24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28" fillId="27" borderId="12" xfId="33" applyNumberFormat="1" applyFont="1" applyFill="1" applyBorder="1" applyAlignment="1">
      <alignment horizontal="center" vertical="center" wrapText="1"/>
      <protection/>
    </xf>
    <xf numFmtId="49" fontId="28" fillId="27" borderId="22" xfId="33" applyNumberFormat="1" applyFont="1" applyFill="1" applyBorder="1" applyAlignment="1">
      <alignment horizontal="center" vertical="center" wrapText="1"/>
      <protection/>
    </xf>
    <xf numFmtId="49" fontId="28" fillId="27" borderId="16" xfId="33" applyNumberFormat="1" applyFont="1" applyFill="1" applyBorder="1" applyAlignment="1">
      <alignment horizontal="center" vertical="center" wrapText="1"/>
      <protection/>
    </xf>
    <xf numFmtId="0" fontId="29" fillId="24" borderId="0" xfId="57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1" fontId="23" fillId="24" borderId="26" xfId="57" applyNumberFormat="1" applyFont="1" applyFill="1" applyBorder="1" applyAlignment="1">
      <alignment horizontal="center" vertical="center" wrapText="1"/>
      <protection/>
    </xf>
    <xf numFmtId="1" fontId="23" fillId="24" borderId="27" xfId="57" applyNumberFormat="1" applyFont="1" applyFill="1" applyBorder="1" applyAlignment="1">
      <alignment horizontal="center" vertical="center" wrapText="1"/>
      <protection/>
    </xf>
    <xf numFmtId="1" fontId="23" fillId="25" borderId="27" xfId="57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181" fontId="30" fillId="24" borderId="0" xfId="57" applyNumberFormat="1" applyFont="1" applyFill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28" fillId="27" borderId="14" xfId="33" applyNumberFormat="1" applyFont="1" applyFill="1" applyBorder="1" applyAlignment="1">
      <alignment horizontal="center" vertical="center" wrapText="1"/>
      <protection/>
    </xf>
    <xf numFmtId="49" fontId="28" fillId="27" borderId="13" xfId="33" applyNumberFormat="1" applyFont="1" applyFill="1" applyBorder="1" applyAlignment="1">
      <alignment horizontal="center" vertical="center" wrapText="1"/>
      <protection/>
    </xf>
    <xf numFmtId="49" fontId="28" fillId="27" borderId="29" xfId="33" applyNumberFormat="1" applyFont="1" applyFill="1" applyBorder="1" applyAlignment="1">
      <alignment horizontal="center" vertical="center" wrapText="1"/>
      <protection/>
    </xf>
    <xf numFmtId="0" fontId="27" fillId="24" borderId="0" xfId="57" applyFont="1" applyFill="1" applyBorder="1" applyAlignment="1">
      <alignment horizontal="center" vertical="center" wrapText="1"/>
      <protection/>
    </xf>
    <xf numFmtId="190" fontId="22" fillId="25" borderId="15" xfId="56" applyNumberFormat="1" applyFont="1" applyFill="1" applyBorder="1" applyAlignment="1">
      <alignment horizontal="center" vertical="center" wrapText="1"/>
      <protection/>
    </xf>
    <xf numFmtId="49" fontId="22" fillId="0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1" fontId="25" fillId="24" borderId="10" xfId="57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1" fontId="25" fillId="24" borderId="10" xfId="57" applyNumberFormat="1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Образец Сведения о ходе работ" xfId="56"/>
    <cellStyle name="Обычный_Ремонты за янв.ноябрь 2010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8"/>
  <sheetViews>
    <sheetView tabSelected="1" zoomScale="98" zoomScaleNormal="98" zoomScalePageLayoutView="0" workbookViewId="0" topLeftCell="A61">
      <selection activeCell="K61" sqref="K61"/>
    </sheetView>
  </sheetViews>
  <sheetFormatPr defaultColWidth="9.140625" defaultRowHeight="12.75"/>
  <cols>
    <col min="1" max="1" width="0.9921875" style="21" customWidth="1"/>
    <col min="2" max="2" width="13.140625" style="2" customWidth="1"/>
    <col min="3" max="3" width="41.8515625" style="3" customWidth="1"/>
    <col min="4" max="4" width="17.421875" style="1" customWidth="1"/>
    <col min="5" max="5" width="10.140625" style="1" customWidth="1"/>
    <col min="6" max="6" width="12.57421875" style="1" hidden="1" customWidth="1"/>
    <col min="7" max="7" width="11.140625" style="1" hidden="1" customWidth="1"/>
    <col min="8" max="8" width="9.57421875" style="16" hidden="1" customWidth="1"/>
    <col min="9" max="9" width="10.28125" style="16" customWidth="1"/>
    <col min="10" max="10" width="12.57421875" style="16" customWidth="1"/>
    <col min="11" max="11" width="11.28125" style="4" customWidth="1"/>
    <col min="12" max="12" width="11.00390625" style="17" customWidth="1"/>
    <col min="13" max="13" width="5.28125" style="21" hidden="1" customWidth="1"/>
    <col min="14" max="14" width="12.140625" style="21" hidden="1" customWidth="1"/>
    <col min="15" max="15" width="0" style="21" hidden="1" customWidth="1"/>
    <col min="16" max="16" width="10.140625" style="21" customWidth="1"/>
    <col min="17" max="17" width="11.7109375" style="21" bestFit="1" customWidth="1"/>
    <col min="18" max="19" width="9.140625" style="21" customWidth="1"/>
    <col min="20" max="20" width="16.140625" style="21" bestFit="1" customWidth="1"/>
    <col min="21" max="21" width="15.7109375" style="21" customWidth="1"/>
    <col min="22" max="22" width="22.00390625" style="21" customWidth="1"/>
    <col min="23" max="16384" width="9.140625" style="21" customWidth="1"/>
  </cols>
  <sheetData>
    <row r="1" spans="2:17" ht="23.25" customHeight="1">
      <c r="B1" s="5"/>
      <c r="C1" s="6"/>
      <c r="D1" s="6"/>
      <c r="E1" s="6"/>
      <c r="F1" s="6"/>
      <c r="G1" s="6"/>
      <c r="H1" s="15"/>
      <c r="I1" s="15"/>
      <c r="J1" s="198" t="s">
        <v>6</v>
      </c>
      <c r="K1" s="199"/>
      <c r="L1" s="199"/>
      <c r="M1" s="199"/>
      <c r="N1" s="199"/>
      <c r="O1" s="199"/>
      <c r="P1" s="199"/>
      <c r="Q1" s="199"/>
    </row>
    <row r="2" spans="2:17" ht="41.25" customHeight="1">
      <c r="B2" s="205" t="s">
        <v>194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89"/>
      <c r="N2" s="189"/>
      <c r="O2" s="189"/>
      <c r="P2" s="189"/>
      <c r="Q2" s="189"/>
    </row>
    <row r="3" spans="2:17" ht="44.25" customHeight="1">
      <c r="B3" s="188" t="s">
        <v>195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9"/>
      <c r="N3" s="189"/>
      <c r="O3" s="189"/>
      <c r="P3" s="189"/>
      <c r="Q3" s="189"/>
    </row>
    <row r="4" spans="2:12" ht="16.5" customHeight="1" hidden="1">
      <c r="B4" s="8"/>
      <c r="C4" s="7"/>
      <c r="D4" s="7"/>
      <c r="E4" s="9"/>
      <c r="F4" s="10"/>
      <c r="G4" s="11"/>
      <c r="H4" s="9"/>
      <c r="I4" s="9"/>
      <c r="J4" s="9"/>
      <c r="K4" s="10"/>
      <c r="L4" s="11"/>
    </row>
    <row r="5" spans="2:17" ht="16.5" customHeight="1">
      <c r="B5" s="8"/>
      <c r="C5" s="7"/>
      <c r="D5" s="7"/>
      <c r="E5" s="9"/>
      <c r="F5" s="10"/>
      <c r="G5" s="11"/>
      <c r="H5" s="9"/>
      <c r="I5" s="9"/>
      <c r="J5" s="9"/>
      <c r="K5" s="10"/>
      <c r="L5" s="11"/>
      <c r="Q5" s="58" t="s">
        <v>86</v>
      </c>
    </row>
    <row r="6" spans="2:17" ht="12.75" customHeight="1">
      <c r="B6" s="178" t="s">
        <v>1</v>
      </c>
      <c r="C6" s="178" t="s">
        <v>0</v>
      </c>
      <c r="D6" s="178" t="s">
        <v>10</v>
      </c>
      <c r="E6" s="178" t="s">
        <v>87</v>
      </c>
      <c r="F6" s="195"/>
      <c r="G6" s="195"/>
      <c r="H6" s="195"/>
      <c r="I6" s="195"/>
      <c r="J6" s="195"/>
      <c r="K6" s="178" t="s">
        <v>60</v>
      </c>
      <c r="L6" s="178"/>
      <c r="M6" s="196"/>
      <c r="N6" s="196"/>
      <c r="O6" s="196"/>
      <c r="P6" s="196"/>
      <c r="Q6" s="196"/>
    </row>
    <row r="7" spans="2:22" ht="23.25" customHeight="1">
      <c r="B7" s="178"/>
      <c r="C7" s="178"/>
      <c r="D7" s="178"/>
      <c r="E7" s="195"/>
      <c r="F7" s="195"/>
      <c r="G7" s="195"/>
      <c r="H7" s="195"/>
      <c r="I7" s="195"/>
      <c r="J7" s="195"/>
      <c r="K7" s="178"/>
      <c r="L7" s="178"/>
      <c r="M7" s="196"/>
      <c r="N7" s="196"/>
      <c r="O7" s="196"/>
      <c r="P7" s="196"/>
      <c r="Q7" s="196"/>
      <c r="T7" s="141"/>
      <c r="U7" s="141"/>
      <c r="V7" s="141"/>
    </row>
    <row r="8" spans="2:22" ht="27" customHeight="1">
      <c r="B8" s="178"/>
      <c r="C8" s="178"/>
      <c r="D8" s="178"/>
      <c r="E8" s="22" t="s">
        <v>82</v>
      </c>
      <c r="F8" s="22" t="s">
        <v>41</v>
      </c>
      <c r="G8" s="22" t="s">
        <v>41</v>
      </c>
      <c r="H8" s="22" t="s">
        <v>40</v>
      </c>
      <c r="I8" s="22" t="s">
        <v>83</v>
      </c>
      <c r="J8" s="22" t="s">
        <v>84</v>
      </c>
      <c r="K8" s="22" t="s">
        <v>35</v>
      </c>
      <c r="L8" s="22" t="s">
        <v>82</v>
      </c>
      <c r="M8" s="152"/>
      <c r="N8" s="152"/>
      <c r="O8" s="152"/>
      <c r="P8" s="22" t="s">
        <v>83</v>
      </c>
      <c r="Q8" s="22" t="s">
        <v>84</v>
      </c>
      <c r="T8" s="141"/>
      <c r="U8" s="141"/>
      <c r="V8" s="141"/>
    </row>
    <row r="9" spans="2:22" ht="12.75">
      <c r="B9" s="12" t="s">
        <v>2</v>
      </c>
      <c r="C9" s="12" t="s">
        <v>3</v>
      </c>
      <c r="D9" s="12" t="s">
        <v>4</v>
      </c>
      <c r="E9" s="12">
        <v>4</v>
      </c>
      <c r="F9" s="12">
        <v>5</v>
      </c>
      <c r="G9" s="12">
        <v>4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54"/>
      <c r="N9" s="154"/>
      <c r="O9" s="154"/>
      <c r="P9" s="154">
        <v>9</v>
      </c>
      <c r="Q9" s="154">
        <v>10</v>
      </c>
      <c r="T9" s="141"/>
      <c r="U9" s="141"/>
      <c r="V9" s="141"/>
    </row>
    <row r="10" spans="2:22" ht="12.75">
      <c r="B10" s="174" t="s">
        <v>210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T10" s="141"/>
      <c r="U10" s="141"/>
      <c r="V10" s="141"/>
    </row>
    <row r="11" spans="2:22" ht="75" customHeight="1">
      <c r="B11" s="212" t="s">
        <v>48</v>
      </c>
      <c r="C11" s="150" t="s">
        <v>197</v>
      </c>
      <c r="D11" s="12" t="s">
        <v>215</v>
      </c>
      <c r="E11" s="13">
        <f>I11+J11</f>
        <v>5487.79796</v>
      </c>
      <c r="F11" s="13"/>
      <c r="G11" s="13"/>
      <c r="H11" s="13"/>
      <c r="I11" s="13"/>
      <c r="J11" s="13">
        <v>5487.79796</v>
      </c>
      <c r="K11" s="114"/>
      <c r="L11" s="13">
        <f>P11+Q11</f>
        <v>1953.0692</v>
      </c>
      <c r="M11" s="155"/>
      <c r="N11" s="155"/>
      <c r="O11" s="155"/>
      <c r="P11" s="155"/>
      <c r="Q11" s="156">
        <v>1953.0692</v>
      </c>
      <c r="T11" s="141"/>
      <c r="U11" s="141"/>
      <c r="V11" s="141"/>
    </row>
    <row r="12" spans="2:22" ht="51.75" customHeight="1">
      <c r="B12" s="213"/>
      <c r="C12" s="150" t="s">
        <v>196</v>
      </c>
      <c r="D12" s="12" t="s">
        <v>215</v>
      </c>
      <c r="E12" s="13">
        <f aca="true" t="shared" si="0" ref="E12:E28">I12+J12</f>
        <v>14662.06178</v>
      </c>
      <c r="F12" s="13"/>
      <c r="G12" s="13"/>
      <c r="H12" s="13"/>
      <c r="I12" s="13"/>
      <c r="J12" s="13">
        <v>14662.06178</v>
      </c>
      <c r="K12" s="114"/>
      <c r="L12" s="13">
        <f aca="true" t="shared" si="1" ref="L12:L28">P12+Q12</f>
        <v>14662.06178</v>
      </c>
      <c r="M12" s="155"/>
      <c r="N12" s="155"/>
      <c r="O12" s="155"/>
      <c r="P12" s="155"/>
      <c r="Q12" s="156">
        <v>14662.06178</v>
      </c>
      <c r="T12" s="141"/>
      <c r="U12" s="141"/>
      <c r="V12" s="141"/>
    </row>
    <row r="13" spans="2:22" ht="20.25" customHeight="1">
      <c r="B13" s="153"/>
      <c r="C13" s="143" t="s">
        <v>13</v>
      </c>
      <c r="D13" s="12"/>
      <c r="E13" s="14">
        <f>SUM(E11:E12)</f>
        <v>20149.85974</v>
      </c>
      <c r="F13" s="14"/>
      <c r="G13" s="14"/>
      <c r="H13" s="14"/>
      <c r="I13" s="14"/>
      <c r="J13" s="14">
        <f>SUM(J11:J12)</f>
        <v>20149.85974</v>
      </c>
      <c r="K13" s="112"/>
      <c r="L13" s="14">
        <f>SUM(L11:L12)</f>
        <v>16615.13098</v>
      </c>
      <c r="M13" s="157"/>
      <c r="N13" s="157"/>
      <c r="O13" s="157"/>
      <c r="P13" s="157"/>
      <c r="Q13" s="158">
        <f>SUM(Q11:Q12)</f>
        <v>16615.13098</v>
      </c>
      <c r="T13" s="141"/>
      <c r="U13" s="141"/>
      <c r="V13" s="141"/>
    </row>
    <row r="14" spans="2:22" ht="45.75" customHeight="1">
      <c r="B14" s="212" t="s">
        <v>52</v>
      </c>
      <c r="C14" s="150" t="s">
        <v>198</v>
      </c>
      <c r="D14" s="12" t="s">
        <v>16</v>
      </c>
      <c r="E14" s="13">
        <f t="shared" si="0"/>
        <v>496254.08718</v>
      </c>
      <c r="F14" s="13"/>
      <c r="G14" s="13"/>
      <c r="H14" s="13"/>
      <c r="I14" s="13">
        <v>321423.165</v>
      </c>
      <c r="J14" s="13">
        <v>174830.92218</v>
      </c>
      <c r="K14" s="114"/>
      <c r="L14" s="13">
        <f t="shared" si="1"/>
        <v>575713.29379</v>
      </c>
      <c r="M14" s="155"/>
      <c r="N14" s="155"/>
      <c r="O14" s="155"/>
      <c r="P14" s="156">
        <v>455071.5494</v>
      </c>
      <c r="Q14" s="156">
        <v>120641.74439</v>
      </c>
      <c r="T14" s="141"/>
      <c r="U14" s="141"/>
      <c r="V14" s="141"/>
    </row>
    <row r="15" spans="2:22" ht="54.75" customHeight="1">
      <c r="B15" s="213"/>
      <c r="C15" s="150" t="s">
        <v>199</v>
      </c>
      <c r="D15" s="12" t="s">
        <v>212</v>
      </c>
      <c r="E15" s="13">
        <f t="shared" si="0"/>
        <v>423852.38710000005</v>
      </c>
      <c r="F15" s="13"/>
      <c r="G15" s="13"/>
      <c r="H15" s="13"/>
      <c r="I15" s="13">
        <v>256210.3366</v>
      </c>
      <c r="J15" s="13">
        <v>167642.0505</v>
      </c>
      <c r="K15" s="114"/>
      <c r="L15" s="13">
        <f t="shared" si="1"/>
        <v>426954.02957</v>
      </c>
      <c r="M15" s="155"/>
      <c r="N15" s="155"/>
      <c r="O15" s="155"/>
      <c r="P15" s="156">
        <v>274738.44735</v>
      </c>
      <c r="Q15" s="156">
        <v>152215.58222</v>
      </c>
      <c r="T15" s="141"/>
      <c r="U15" s="141"/>
      <c r="V15" s="141"/>
    </row>
    <row r="16" spans="2:22" ht="57.75" customHeight="1">
      <c r="B16" s="213"/>
      <c r="C16" s="150" t="s">
        <v>200</v>
      </c>
      <c r="D16" s="12" t="s">
        <v>75</v>
      </c>
      <c r="E16" s="13">
        <f t="shared" si="0"/>
        <v>606574.30424</v>
      </c>
      <c r="F16" s="13"/>
      <c r="G16" s="13"/>
      <c r="H16" s="13"/>
      <c r="I16" s="13">
        <v>500850.71928</v>
      </c>
      <c r="J16" s="13">
        <v>105723.58496</v>
      </c>
      <c r="K16" s="114"/>
      <c r="L16" s="13">
        <f t="shared" si="1"/>
        <v>292816.15774</v>
      </c>
      <c r="M16" s="155"/>
      <c r="N16" s="155"/>
      <c r="O16" s="155"/>
      <c r="P16" s="156">
        <v>279629.77687</v>
      </c>
      <c r="Q16" s="156">
        <v>13186.38087</v>
      </c>
      <c r="T16" s="141"/>
      <c r="U16" s="141"/>
      <c r="V16" s="141"/>
    </row>
    <row r="17" spans="2:22" ht="41.25" customHeight="1">
      <c r="B17" s="213"/>
      <c r="C17" s="150" t="s">
        <v>201</v>
      </c>
      <c r="D17" s="12" t="s">
        <v>213</v>
      </c>
      <c r="E17" s="13">
        <f t="shared" si="0"/>
        <v>3833.37965</v>
      </c>
      <c r="F17" s="13"/>
      <c r="G17" s="13"/>
      <c r="H17" s="13"/>
      <c r="I17" s="13"/>
      <c r="J17" s="13">
        <v>3833.37965</v>
      </c>
      <c r="K17" s="114" t="s">
        <v>217</v>
      </c>
      <c r="L17" s="13">
        <f t="shared" si="1"/>
        <v>5267.24651</v>
      </c>
      <c r="M17" s="155"/>
      <c r="N17" s="155"/>
      <c r="O17" s="155"/>
      <c r="P17" s="156"/>
      <c r="Q17" s="156">
        <v>5267.24651</v>
      </c>
      <c r="T17" s="141"/>
      <c r="U17" s="141"/>
      <c r="V17" s="141"/>
    </row>
    <row r="18" spans="2:22" ht="55.5" customHeight="1">
      <c r="B18" s="213"/>
      <c r="C18" s="150" t="s">
        <v>202</v>
      </c>
      <c r="D18" s="12" t="s">
        <v>214</v>
      </c>
      <c r="E18" s="13">
        <f t="shared" si="0"/>
        <v>113193.07553</v>
      </c>
      <c r="F18" s="13"/>
      <c r="G18" s="13"/>
      <c r="H18" s="13"/>
      <c r="I18" s="13"/>
      <c r="J18" s="13">
        <v>113193.07553</v>
      </c>
      <c r="K18" s="114" t="s">
        <v>216</v>
      </c>
      <c r="L18" s="13">
        <f t="shared" si="1"/>
        <v>112231.20728</v>
      </c>
      <c r="M18" s="155"/>
      <c r="N18" s="155"/>
      <c r="O18" s="155"/>
      <c r="P18" s="156"/>
      <c r="Q18" s="156">
        <v>112231.20728</v>
      </c>
      <c r="T18" s="141"/>
      <c r="U18" s="141"/>
      <c r="V18" s="141"/>
    </row>
    <row r="19" spans="2:22" ht="18.75" customHeight="1">
      <c r="B19" s="153"/>
      <c r="C19" s="143" t="s">
        <v>13</v>
      </c>
      <c r="D19" s="12"/>
      <c r="E19" s="14">
        <f>SUM(E14:E18)</f>
        <v>1643707.2337</v>
      </c>
      <c r="F19" s="14"/>
      <c r="G19" s="14"/>
      <c r="H19" s="14"/>
      <c r="I19" s="14">
        <f>SUM(I14:I18)</f>
        <v>1078484.22088</v>
      </c>
      <c r="J19" s="14">
        <f>SUM(J14:J18)</f>
        <v>565223.0128200001</v>
      </c>
      <c r="K19" s="112" t="s">
        <v>218</v>
      </c>
      <c r="L19" s="14">
        <f>SUM(L14:L18)</f>
        <v>1412981.93489</v>
      </c>
      <c r="M19" s="157"/>
      <c r="N19" s="157"/>
      <c r="O19" s="157"/>
      <c r="P19" s="158">
        <f>SUM(P14:P18)</f>
        <v>1009439.7736199999</v>
      </c>
      <c r="Q19" s="158">
        <f>SUM(Q14:Q18)</f>
        <v>403542.16127000004</v>
      </c>
      <c r="T19" s="141"/>
      <c r="U19" s="141"/>
      <c r="V19" s="141"/>
    </row>
    <row r="20" spans="2:22" ht="37.5" customHeight="1">
      <c r="B20" s="212" t="s">
        <v>53</v>
      </c>
      <c r="C20" s="150" t="s">
        <v>203</v>
      </c>
      <c r="D20" s="12" t="s">
        <v>211</v>
      </c>
      <c r="E20" s="13">
        <f t="shared" si="0"/>
        <v>481040.29790999996</v>
      </c>
      <c r="F20" s="13"/>
      <c r="G20" s="13"/>
      <c r="H20" s="13"/>
      <c r="I20" s="13">
        <v>238475</v>
      </c>
      <c r="J20" s="13">
        <v>242565.29791</v>
      </c>
      <c r="K20" s="114"/>
      <c r="L20" s="13">
        <f t="shared" si="1"/>
        <v>366135.47322</v>
      </c>
      <c r="M20" s="155"/>
      <c r="N20" s="155"/>
      <c r="O20" s="155"/>
      <c r="P20" s="156">
        <v>198256.14925</v>
      </c>
      <c r="Q20" s="156">
        <v>167879.32397</v>
      </c>
      <c r="T20" s="141"/>
      <c r="U20" s="141"/>
      <c r="V20" s="141"/>
    </row>
    <row r="21" spans="2:22" ht="44.25" customHeight="1">
      <c r="B21" s="212"/>
      <c r="C21" s="150" t="s">
        <v>209</v>
      </c>
      <c r="D21" s="12" t="s">
        <v>16</v>
      </c>
      <c r="E21" s="13"/>
      <c r="F21" s="13"/>
      <c r="G21" s="13"/>
      <c r="H21" s="13"/>
      <c r="I21" s="13"/>
      <c r="J21" s="13"/>
      <c r="K21" s="114">
        <v>1.5</v>
      </c>
      <c r="L21" s="13"/>
      <c r="M21" s="155"/>
      <c r="N21" s="155"/>
      <c r="O21" s="155"/>
      <c r="P21" s="156"/>
      <c r="Q21" s="156"/>
      <c r="T21" s="141"/>
      <c r="U21" s="141"/>
      <c r="V21" s="141"/>
    </row>
    <row r="22" spans="2:22" ht="42" customHeight="1">
      <c r="B22" s="213"/>
      <c r="C22" s="150" t="s">
        <v>204</v>
      </c>
      <c r="D22" s="12" t="s">
        <v>73</v>
      </c>
      <c r="E22" s="13">
        <f t="shared" si="0"/>
        <v>114102.20521</v>
      </c>
      <c r="F22" s="13"/>
      <c r="G22" s="13"/>
      <c r="H22" s="13"/>
      <c r="I22" s="13"/>
      <c r="J22" s="13">
        <v>114102.20521</v>
      </c>
      <c r="K22" s="114"/>
      <c r="L22" s="13">
        <f t="shared" si="1"/>
        <v>16842.0081</v>
      </c>
      <c r="M22" s="155"/>
      <c r="N22" s="155"/>
      <c r="O22" s="155"/>
      <c r="P22" s="156">
        <v>842.58557</v>
      </c>
      <c r="Q22" s="156">
        <v>15999.42253</v>
      </c>
      <c r="T22" s="141"/>
      <c r="U22" s="141"/>
      <c r="V22" s="141"/>
    </row>
    <row r="23" spans="2:22" ht="34.5" customHeight="1">
      <c r="B23" s="213"/>
      <c r="C23" s="150" t="s">
        <v>205</v>
      </c>
      <c r="D23" s="12" t="s">
        <v>73</v>
      </c>
      <c r="E23" s="13">
        <f t="shared" si="0"/>
        <v>374959.97454</v>
      </c>
      <c r="F23" s="13"/>
      <c r="G23" s="13"/>
      <c r="H23" s="13"/>
      <c r="I23" s="13">
        <v>279939.12543</v>
      </c>
      <c r="J23" s="13">
        <v>95020.84911</v>
      </c>
      <c r="K23" s="114"/>
      <c r="L23" s="13">
        <f t="shared" si="1"/>
        <v>283469.07556</v>
      </c>
      <c r="M23" s="155"/>
      <c r="N23" s="155"/>
      <c r="O23" s="155"/>
      <c r="P23" s="156">
        <v>256524.83037</v>
      </c>
      <c r="Q23" s="156">
        <v>26944.24519</v>
      </c>
      <c r="T23" s="141"/>
      <c r="U23" s="141"/>
      <c r="V23" s="141"/>
    </row>
    <row r="24" spans="2:22" ht="15.75" customHeight="1">
      <c r="B24" s="153"/>
      <c r="C24" s="143" t="s">
        <v>13</v>
      </c>
      <c r="D24" s="12"/>
      <c r="E24" s="14">
        <f>SUM(E20:E23)</f>
        <v>970102.4776600001</v>
      </c>
      <c r="F24" s="14"/>
      <c r="G24" s="14"/>
      <c r="H24" s="14"/>
      <c r="I24" s="14">
        <f>SUM(I20:I23)</f>
        <v>518414.12543</v>
      </c>
      <c r="J24" s="14">
        <f>SUM(J20:J23)</f>
        <v>451688.35223</v>
      </c>
      <c r="K24" s="112">
        <v>1.5</v>
      </c>
      <c r="L24" s="14">
        <f>SUM(L20:L23)</f>
        <v>666446.55688</v>
      </c>
      <c r="M24" s="157"/>
      <c r="N24" s="157"/>
      <c r="O24" s="157"/>
      <c r="P24" s="158">
        <f>SUM(P20:P23)</f>
        <v>455623.56519</v>
      </c>
      <c r="Q24" s="158">
        <f>SUM(Q20:Q23)</f>
        <v>210822.99169</v>
      </c>
      <c r="T24" s="141"/>
      <c r="U24" s="141"/>
      <c r="V24" s="141"/>
    </row>
    <row r="25" spans="2:22" ht="59.25" customHeight="1">
      <c r="B25" s="151" t="s">
        <v>54</v>
      </c>
      <c r="C25" s="149" t="s">
        <v>207</v>
      </c>
      <c r="D25" s="12" t="s">
        <v>215</v>
      </c>
      <c r="E25" s="13">
        <f t="shared" si="0"/>
        <v>4131.73866</v>
      </c>
      <c r="F25" s="13"/>
      <c r="G25" s="13"/>
      <c r="H25" s="13"/>
      <c r="I25" s="13"/>
      <c r="J25" s="13">
        <v>4131.73866</v>
      </c>
      <c r="K25" s="114"/>
      <c r="L25" s="13">
        <f t="shared" si="1"/>
        <v>3958.51172</v>
      </c>
      <c r="M25" s="155"/>
      <c r="N25" s="155"/>
      <c r="O25" s="155"/>
      <c r="P25" s="156"/>
      <c r="Q25" s="156">
        <v>3958.51172</v>
      </c>
      <c r="T25" s="141"/>
      <c r="U25" s="141"/>
      <c r="V25" s="141"/>
    </row>
    <row r="26" spans="2:22" ht="16.5" customHeight="1">
      <c r="B26" s="151"/>
      <c r="C26" s="143" t="s">
        <v>13</v>
      </c>
      <c r="D26" s="12"/>
      <c r="E26" s="14">
        <f>E25</f>
        <v>4131.73866</v>
      </c>
      <c r="F26" s="14"/>
      <c r="G26" s="14"/>
      <c r="H26" s="14"/>
      <c r="I26" s="14"/>
      <c r="J26" s="14">
        <f>J25</f>
        <v>4131.73866</v>
      </c>
      <c r="K26" s="112"/>
      <c r="L26" s="14">
        <f>L25</f>
        <v>3958.51172</v>
      </c>
      <c r="M26" s="157"/>
      <c r="N26" s="157"/>
      <c r="O26" s="157"/>
      <c r="P26" s="158"/>
      <c r="Q26" s="158">
        <f>Q25</f>
        <v>3958.51172</v>
      </c>
      <c r="T26" s="141"/>
      <c r="U26" s="141"/>
      <c r="V26" s="141"/>
    </row>
    <row r="27" spans="2:22" ht="20.25" customHeight="1">
      <c r="B27" s="214" t="s">
        <v>206</v>
      </c>
      <c r="C27" s="215"/>
      <c r="D27" s="12"/>
      <c r="E27" s="13">
        <f t="shared" si="0"/>
        <v>68981.48489</v>
      </c>
      <c r="F27" s="13"/>
      <c r="G27" s="13"/>
      <c r="H27" s="13"/>
      <c r="I27" s="13"/>
      <c r="J27" s="13">
        <v>68981.48489</v>
      </c>
      <c r="K27" s="114"/>
      <c r="L27" s="13">
        <f t="shared" si="1"/>
        <v>22225.44656</v>
      </c>
      <c r="M27" s="155"/>
      <c r="N27" s="155"/>
      <c r="O27" s="155"/>
      <c r="P27" s="156"/>
      <c r="Q27" s="156">
        <v>22225.44656</v>
      </c>
      <c r="T27" s="141"/>
      <c r="U27" s="141"/>
      <c r="V27" s="141"/>
    </row>
    <row r="28" spans="2:22" ht="32.25" customHeight="1">
      <c r="B28" s="173" t="s">
        <v>208</v>
      </c>
      <c r="C28" s="216"/>
      <c r="D28" s="195"/>
      <c r="E28" s="14">
        <f t="shared" si="0"/>
        <v>2707072.79465</v>
      </c>
      <c r="F28" s="14"/>
      <c r="G28" s="14"/>
      <c r="H28" s="14"/>
      <c r="I28" s="158">
        <f>I27+I26+I24+I19+I13</f>
        <v>1596898.34631</v>
      </c>
      <c r="J28" s="158">
        <f>J27+J26+J24+J19+J13</f>
        <v>1110174.4483400001</v>
      </c>
      <c r="K28" s="112" t="s">
        <v>219</v>
      </c>
      <c r="L28" s="14">
        <f t="shared" si="1"/>
        <v>2122227.58103</v>
      </c>
      <c r="M28" s="157"/>
      <c r="N28" s="157"/>
      <c r="O28" s="157"/>
      <c r="P28" s="158">
        <f>P27+P26+P24+P19+P13</f>
        <v>1465063.3388099999</v>
      </c>
      <c r="Q28" s="158">
        <f>Q27+Q26+Q24+Q19+Q13</f>
        <v>657164.24222</v>
      </c>
      <c r="T28" s="141"/>
      <c r="U28" s="141"/>
      <c r="V28" s="141"/>
    </row>
    <row r="29" spans="2:22" ht="18.75" customHeight="1">
      <c r="B29" s="190" t="s">
        <v>20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2"/>
      <c r="M29" s="193"/>
      <c r="N29" s="193"/>
      <c r="O29" s="193"/>
      <c r="P29" s="193"/>
      <c r="Q29" s="194"/>
      <c r="T29" s="141"/>
      <c r="U29" s="141"/>
      <c r="V29" s="141"/>
    </row>
    <row r="30" spans="2:22" ht="41.25" customHeight="1">
      <c r="B30" s="140" t="s">
        <v>47</v>
      </c>
      <c r="C30" s="179" t="s">
        <v>9</v>
      </c>
      <c r="D30" s="140" t="s">
        <v>186</v>
      </c>
      <c r="E30" s="47">
        <f>I30+J30</f>
        <v>83213.35782</v>
      </c>
      <c r="F30" s="47"/>
      <c r="G30" s="47">
        <f>18317.03735+57624.16111</f>
        <v>75941.19846</v>
      </c>
      <c r="H30" s="47"/>
      <c r="I30" s="47"/>
      <c r="J30" s="47">
        <v>83213.35782</v>
      </c>
      <c r="K30" s="47"/>
      <c r="L30" s="47">
        <f>P30+Q30</f>
        <v>83213.35782</v>
      </c>
      <c r="M30" s="48"/>
      <c r="N30" s="48"/>
      <c r="O30" s="48"/>
      <c r="P30" s="48"/>
      <c r="Q30" s="47">
        <v>83213.35782</v>
      </c>
      <c r="T30" s="141"/>
      <c r="U30" s="141"/>
      <c r="V30" s="141"/>
    </row>
    <row r="31" spans="2:22" ht="31.5" customHeight="1">
      <c r="B31" s="140" t="s">
        <v>51</v>
      </c>
      <c r="C31" s="179"/>
      <c r="D31" s="140" t="s">
        <v>185</v>
      </c>
      <c r="E31" s="47">
        <f aca="true" t="shared" si="2" ref="E31:E47">I31+J31</f>
        <v>112555.72885</v>
      </c>
      <c r="F31" s="47"/>
      <c r="G31" s="47">
        <f>24166.45804+77623.22217</f>
        <v>101789.68020999999</v>
      </c>
      <c r="H31" s="47"/>
      <c r="I31" s="47"/>
      <c r="J31" s="47">
        <v>112555.72885</v>
      </c>
      <c r="K31" s="47"/>
      <c r="L31" s="47">
        <f aca="true" t="shared" si="3" ref="L31:L47">P31+Q31</f>
        <v>112555.72885</v>
      </c>
      <c r="M31" s="48"/>
      <c r="N31" s="48"/>
      <c r="O31" s="48"/>
      <c r="P31" s="48"/>
      <c r="Q31" s="47">
        <v>112555.72885</v>
      </c>
      <c r="T31" s="141"/>
      <c r="U31" s="141"/>
      <c r="V31" s="141"/>
    </row>
    <row r="32" spans="2:22" ht="31.5" customHeight="1">
      <c r="B32" s="140" t="s">
        <v>7</v>
      </c>
      <c r="C32" s="179"/>
      <c r="D32" s="140" t="s">
        <v>183</v>
      </c>
      <c r="E32" s="47">
        <f t="shared" si="2"/>
        <v>113113.40664</v>
      </c>
      <c r="F32" s="47"/>
      <c r="G32" s="47">
        <f>22781.32807+70205.74551</f>
        <v>92987.07358</v>
      </c>
      <c r="H32" s="47"/>
      <c r="I32" s="47"/>
      <c r="J32" s="47">
        <v>113113.40664</v>
      </c>
      <c r="K32" s="47"/>
      <c r="L32" s="47">
        <f t="shared" si="3"/>
        <v>113113.40664</v>
      </c>
      <c r="M32" s="48"/>
      <c r="N32" s="48"/>
      <c r="O32" s="48"/>
      <c r="P32" s="48"/>
      <c r="Q32" s="47">
        <v>113113.40664</v>
      </c>
      <c r="T32" s="141"/>
      <c r="U32" s="141"/>
      <c r="V32" s="141"/>
    </row>
    <row r="33" spans="2:22" ht="58.5" customHeight="1">
      <c r="B33" s="140" t="s">
        <v>48</v>
      </c>
      <c r="C33" s="179"/>
      <c r="D33" s="140" t="s">
        <v>182</v>
      </c>
      <c r="E33" s="47">
        <f t="shared" si="2"/>
        <v>258501.55183</v>
      </c>
      <c r="F33" s="47"/>
      <c r="G33" s="47">
        <f>55308.02806+83114.42585+99373.50384</f>
        <v>237795.95775</v>
      </c>
      <c r="H33" s="47"/>
      <c r="I33" s="47"/>
      <c r="J33" s="47">
        <v>258501.55183</v>
      </c>
      <c r="K33" s="47"/>
      <c r="L33" s="47">
        <f t="shared" si="3"/>
        <v>258501.55183</v>
      </c>
      <c r="M33" s="48"/>
      <c r="N33" s="48"/>
      <c r="O33" s="48"/>
      <c r="P33" s="48"/>
      <c r="Q33" s="47">
        <v>258501.55183</v>
      </c>
      <c r="T33" s="141"/>
      <c r="U33" s="141"/>
      <c r="V33" s="141"/>
    </row>
    <row r="34" spans="2:22" ht="12.75">
      <c r="B34" s="140" t="s">
        <v>52</v>
      </c>
      <c r="C34" s="179"/>
      <c r="D34" s="140" t="s">
        <v>180</v>
      </c>
      <c r="E34" s="47">
        <f t="shared" si="2"/>
        <v>342745.59646</v>
      </c>
      <c r="F34" s="47"/>
      <c r="G34" s="47">
        <f>61768.01231+212164.89</f>
        <v>273932.90231000003</v>
      </c>
      <c r="H34" s="47"/>
      <c r="I34" s="47"/>
      <c r="J34" s="47">
        <v>342745.59646</v>
      </c>
      <c r="K34" s="47"/>
      <c r="L34" s="47">
        <f t="shared" si="3"/>
        <v>342745.59646</v>
      </c>
      <c r="M34" s="48"/>
      <c r="N34" s="48"/>
      <c r="O34" s="48"/>
      <c r="P34" s="48"/>
      <c r="Q34" s="47">
        <v>342745.59646</v>
      </c>
      <c r="T34" s="141"/>
      <c r="U34" s="141"/>
      <c r="V34" s="141"/>
    </row>
    <row r="35" spans="2:22" ht="29.25" customHeight="1">
      <c r="B35" s="140" t="s">
        <v>53</v>
      </c>
      <c r="C35" s="179"/>
      <c r="D35" s="140" t="s">
        <v>184</v>
      </c>
      <c r="E35" s="47">
        <f t="shared" si="2"/>
        <v>160553.98661</v>
      </c>
      <c r="F35" s="47"/>
      <c r="G35" s="47">
        <f>31515.52624+8645.97673+92251.02141+27734.58013</f>
        <v>160147.10451</v>
      </c>
      <c r="H35" s="47"/>
      <c r="I35" s="47"/>
      <c r="J35" s="47">
        <v>160553.98661</v>
      </c>
      <c r="K35" s="47"/>
      <c r="L35" s="47">
        <f t="shared" si="3"/>
        <v>160553.98661</v>
      </c>
      <c r="M35" s="48"/>
      <c r="N35" s="48"/>
      <c r="O35" s="48"/>
      <c r="P35" s="48"/>
      <c r="Q35" s="47">
        <v>160553.98661</v>
      </c>
      <c r="T35" s="141"/>
      <c r="U35" s="141"/>
      <c r="V35" s="141"/>
    </row>
    <row r="36" spans="2:22" ht="31.5" customHeight="1">
      <c r="B36" s="140" t="s">
        <v>49</v>
      </c>
      <c r="C36" s="179"/>
      <c r="D36" s="140" t="s">
        <v>190</v>
      </c>
      <c r="E36" s="47">
        <f t="shared" si="2"/>
        <v>107787.14057</v>
      </c>
      <c r="F36" s="47"/>
      <c r="G36" s="47">
        <f>21104.96044+77128.72154</f>
        <v>98233.68198</v>
      </c>
      <c r="H36" s="47"/>
      <c r="I36" s="47"/>
      <c r="J36" s="47">
        <v>107787.14057</v>
      </c>
      <c r="K36" s="47"/>
      <c r="L36" s="47">
        <f t="shared" si="3"/>
        <v>107787.14057</v>
      </c>
      <c r="M36" s="48"/>
      <c r="N36" s="48"/>
      <c r="O36" s="48"/>
      <c r="P36" s="48"/>
      <c r="Q36" s="47">
        <v>107787.14057</v>
      </c>
      <c r="T36" s="141"/>
      <c r="U36" s="141"/>
      <c r="V36" s="141"/>
    </row>
    <row r="37" spans="2:22" ht="32.25" customHeight="1">
      <c r="B37" s="140" t="s">
        <v>54</v>
      </c>
      <c r="C37" s="179"/>
      <c r="D37" s="140" t="s">
        <v>184</v>
      </c>
      <c r="E37" s="47">
        <f t="shared" si="2"/>
        <v>85152.4059</v>
      </c>
      <c r="F37" s="47"/>
      <c r="G37" s="47">
        <f>18404.96209+58874.4172</f>
        <v>77279.37929000001</v>
      </c>
      <c r="H37" s="47"/>
      <c r="I37" s="47"/>
      <c r="J37" s="47">
        <v>85152.4059</v>
      </c>
      <c r="K37" s="47"/>
      <c r="L37" s="47">
        <f t="shared" si="3"/>
        <v>85152.4059</v>
      </c>
      <c r="M37" s="48"/>
      <c r="N37" s="48"/>
      <c r="O37" s="48"/>
      <c r="P37" s="48"/>
      <c r="Q37" s="47">
        <v>85152.4059</v>
      </c>
      <c r="T37" s="141"/>
      <c r="U37" s="141"/>
      <c r="V37" s="141"/>
    </row>
    <row r="38" spans="2:22" ht="29.25" customHeight="1">
      <c r="B38" s="140" t="s">
        <v>45</v>
      </c>
      <c r="C38" s="179"/>
      <c r="D38" s="140" t="s">
        <v>179</v>
      </c>
      <c r="E38" s="47">
        <f t="shared" si="2"/>
        <v>85484.10452</v>
      </c>
      <c r="F38" s="47"/>
      <c r="G38" s="47">
        <f>14943.50878+53288.6763</f>
        <v>68232.18508</v>
      </c>
      <c r="H38" s="47"/>
      <c r="I38" s="47"/>
      <c r="J38" s="47">
        <v>85484.10452</v>
      </c>
      <c r="K38" s="47"/>
      <c r="L38" s="47">
        <f t="shared" si="3"/>
        <v>85484.10452</v>
      </c>
      <c r="M38" s="48"/>
      <c r="N38" s="48"/>
      <c r="O38" s="48"/>
      <c r="P38" s="48"/>
      <c r="Q38" s="47">
        <v>85484.10452</v>
      </c>
      <c r="T38" s="141"/>
      <c r="U38" s="141"/>
      <c r="V38" s="141"/>
    </row>
    <row r="39" spans="2:22" ht="30" customHeight="1">
      <c r="B39" s="140" t="s">
        <v>43</v>
      </c>
      <c r="C39" s="179"/>
      <c r="D39" s="140" t="s">
        <v>178</v>
      </c>
      <c r="E39" s="47">
        <f t="shared" si="2"/>
        <v>71131.16665</v>
      </c>
      <c r="F39" s="47"/>
      <c r="G39" s="47">
        <f>13742.3507+46623.62484</f>
        <v>60365.97554</v>
      </c>
      <c r="H39" s="47"/>
      <c r="I39" s="47"/>
      <c r="J39" s="47">
        <v>71131.16665</v>
      </c>
      <c r="K39" s="47"/>
      <c r="L39" s="47">
        <f t="shared" si="3"/>
        <v>71131.16665</v>
      </c>
      <c r="M39" s="48"/>
      <c r="N39" s="48"/>
      <c r="O39" s="48"/>
      <c r="P39" s="48"/>
      <c r="Q39" s="47">
        <v>71131.16665</v>
      </c>
      <c r="T39" s="141"/>
      <c r="U39" s="141"/>
      <c r="V39" s="141"/>
    </row>
    <row r="40" spans="2:22" ht="38.25" customHeight="1">
      <c r="B40" s="140" t="s">
        <v>50</v>
      </c>
      <c r="C40" s="179"/>
      <c r="D40" s="140" t="s">
        <v>189</v>
      </c>
      <c r="E40" s="47">
        <f t="shared" si="2"/>
        <v>150292.18429</v>
      </c>
      <c r="F40" s="47"/>
      <c r="G40" s="47">
        <f>29275.72292+53354.20141+32029.52028</f>
        <v>114659.44461</v>
      </c>
      <c r="H40" s="47"/>
      <c r="I40" s="47"/>
      <c r="J40" s="47">
        <v>150292.18429</v>
      </c>
      <c r="K40" s="47"/>
      <c r="L40" s="47">
        <f t="shared" si="3"/>
        <v>150292.18429</v>
      </c>
      <c r="M40" s="48"/>
      <c r="N40" s="48"/>
      <c r="O40" s="48"/>
      <c r="P40" s="48"/>
      <c r="Q40" s="47">
        <v>150292.18429</v>
      </c>
      <c r="T40" s="141"/>
      <c r="U40" s="141"/>
      <c r="V40" s="141"/>
    </row>
    <row r="41" spans="2:22" ht="33" customHeight="1">
      <c r="B41" s="140" t="s">
        <v>44</v>
      </c>
      <c r="C41" s="179"/>
      <c r="D41" s="140" t="s">
        <v>190</v>
      </c>
      <c r="E41" s="47">
        <f t="shared" si="2"/>
        <v>143307.71865</v>
      </c>
      <c r="F41" s="47"/>
      <c r="G41" s="47">
        <f>29812.16893+105478.40915</f>
        <v>135290.57808</v>
      </c>
      <c r="H41" s="47"/>
      <c r="I41" s="47"/>
      <c r="J41" s="47">
        <v>143307.71865</v>
      </c>
      <c r="K41" s="47"/>
      <c r="L41" s="47">
        <f t="shared" si="3"/>
        <v>143307.71865</v>
      </c>
      <c r="M41" s="48"/>
      <c r="N41" s="48"/>
      <c r="O41" s="48"/>
      <c r="P41" s="48"/>
      <c r="Q41" s="47">
        <v>143307.71865</v>
      </c>
      <c r="T41" s="141"/>
      <c r="U41" s="141"/>
      <c r="V41" s="141"/>
    </row>
    <row r="42" spans="2:22" ht="28.5" customHeight="1">
      <c r="B42" s="140" t="s">
        <v>55</v>
      </c>
      <c r="C42" s="179"/>
      <c r="D42" s="140" t="s">
        <v>178</v>
      </c>
      <c r="E42" s="47">
        <f t="shared" si="2"/>
        <v>134262.26343</v>
      </c>
      <c r="F42" s="47"/>
      <c r="G42" s="47">
        <f>26570.25795+82168.21397</f>
        <v>108738.47192</v>
      </c>
      <c r="H42" s="47"/>
      <c r="I42" s="47"/>
      <c r="J42" s="47">
        <v>134262.26343</v>
      </c>
      <c r="K42" s="47"/>
      <c r="L42" s="47">
        <f t="shared" si="3"/>
        <v>134262.26343</v>
      </c>
      <c r="M42" s="48"/>
      <c r="N42" s="48"/>
      <c r="O42" s="48"/>
      <c r="P42" s="48"/>
      <c r="Q42" s="47">
        <v>134262.26343</v>
      </c>
      <c r="T42" s="141"/>
      <c r="U42" s="141"/>
      <c r="V42" s="141"/>
    </row>
    <row r="43" spans="2:22" ht="20.25">
      <c r="B43" s="140" t="s">
        <v>56</v>
      </c>
      <c r="C43" s="179"/>
      <c r="D43" s="140" t="s">
        <v>181</v>
      </c>
      <c r="E43" s="47">
        <f t="shared" si="2"/>
        <v>124524.34306</v>
      </c>
      <c r="F43" s="47"/>
      <c r="G43" s="47">
        <f>25234.92571+79526.91043</f>
        <v>104761.83614</v>
      </c>
      <c r="H43" s="47"/>
      <c r="I43" s="47"/>
      <c r="J43" s="47">
        <v>124524.34306</v>
      </c>
      <c r="K43" s="47"/>
      <c r="L43" s="47">
        <f t="shared" si="3"/>
        <v>124524.34306</v>
      </c>
      <c r="M43" s="48"/>
      <c r="N43" s="48"/>
      <c r="O43" s="48"/>
      <c r="P43" s="48"/>
      <c r="Q43" s="47">
        <v>124524.34306</v>
      </c>
      <c r="T43" s="141"/>
      <c r="U43" s="141"/>
      <c r="V43" s="141"/>
    </row>
    <row r="44" spans="2:22" ht="30" customHeight="1">
      <c r="B44" s="140" t="s">
        <v>57</v>
      </c>
      <c r="C44" s="179"/>
      <c r="D44" s="140" t="s">
        <v>190</v>
      </c>
      <c r="E44" s="47">
        <f t="shared" si="2"/>
        <v>82202.78237</v>
      </c>
      <c r="F44" s="47"/>
      <c r="G44" s="47">
        <f>18298.96852+56582.6969</f>
        <v>74881.66542</v>
      </c>
      <c r="H44" s="47"/>
      <c r="I44" s="47"/>
      <c r="J44" s="47">
        <v>82202.78237</v>
      </c>
      <c r="K44" s="47"/>
      <c r="L44" s="47">
        <f t="shared" si="3"/>
        <v>82202.78237</v>
      </c>
      <c r="M44" s="48"/>
      <c r="N44" s="48"/>
      <c r="O44" s="48"/>
      <c r="P44" s="48"/>
      <c r="Q44" s="47">
        <v>82202.78237</v>
      </c>
      <c r="T44" s="142"/>
      <c r="U44" s="142"/>
      <c r="V44" s="142"/>
    </row>
    <row r="45" spans="2:22" ht="39" customHeight="1">
      <c r="B45" s="140" t="s">
        <v>58</v>
      </c>
      <c r="C45" s="179"/>
      <c r="D45" s="140" t="s">
        <v>187</v>
      </c>
      <c r="E45" s="47">
        <f t="shared" si="2"/>
        <v>94056.43613</v>
      </c>
      <c r="F45" s="47"/>
      <c r="G45" s="47">
        <f>18031.49036+68301.77843</f>
        <v>86333.26879</v>
      </c>
      <c r="H45" s="47"/>
      <c r="I45" s="47"/>
      <c r="J45" s="47">
        <v>94056.43613</v>
      </c>
      <c r="K45" s="47"/>
      <c r="L45" s="47">
        <f t="shared" si="3"/>
        <v>94056.43613</v>
      </c>
      <c r="M45" s="48"/>
      <c r="N45" s="48"/>
      <c r="O45" s="48"/>
      <c r="P45" s="48"/>
      <c r="Q45" s="47">
        <v>94056.43613</v>
      </c>
      <c r="T45" s="141"/>
      <c r="U45" s="141"/>
      <c r="V45" s="141"/>
    </row>
    <row r="46" spans="2:22" ht="42.75" customHeight="1">
      <c r="B46" s="140" t="s">
        <v>59</v>
      </c>
      <c r="C46" s="179"/>
      <c r="D46" s="140" t="s">
        <v>188</v>
      </c>
      <c r="E46" s="47">
        <f t="shared" si="2"/>
        <v>146224.94711</v>
      </c>
      <c r="F46" s="47"/>
      <c r="G46" s="47">
        <f>21759.99759+5763.98449+64926.82916+18489.72008</f>
        <v>110940.53132</v>
      </c>
      <c r="H46" s="47"/>
      <c r="I46" s="47"/>
      <c r="J46" s="47">
        <v>146224.94711</v>
      </c>
      <c r="K46" s="47"/>
      <c r="L46" s="47">
        <f t="shared" si="3"/>
        <v>146224.94711</v>
      </c>
      <c r="M46" s="48"/>
      <c r="N46" s="50"/>
      <c r="O46" s="48"/>
      <c r="P46" s="48"/>
      <c r="Q46" s="47">
        <v>146224.94711</v>
      </c>
      <c r="T46" s="141"/>
      <c r="U46" s="141"/>
      <c r="V46" s="141"/>
    </row>
    <row r="47" spans="2:22" ht="14.25" customHeight="1">
      <c r="B47" s="175" t="s">
        <v>8</v>
      </c>
      <c r="C47" s="175"/>
      <c r="D47" s="175"/>
      <c r="E47" s="13">
        <f t="shared" si="2"/>
        <v>326650.94629</v>
      </c>
      <c r="F47" s="13"/>
      <c r="G47" s="13">
        <f>223899.6+73700.4</f>
        <v>297600</v>
      </c>
      <c r="H47" s="13"/>
      <c r="I47" s="13"/>
      <c r="J47" s="13">
        <v>326650.94629</v>
      </c>
      <c r="K47" s="47"/>
      <c r="L47" s="13">
        <f t="shared" si="3"/>
        <v>296591.20175</v>
      </c>
      <c r="M47" s="48"/>
      <c r="N47" s="50"/>
      <c r="O47" s="48"/>
      <c r="P47" s="48"/>
      <c r="Q47" s="123">
        <v>296591.20175</v>
      </c>
      <c r="T47" s="141"/>
      <c r="U47" s="141"/>
      <c r="V47" s="141"/>
    </row>
    <row r="48" spans="2:22" ht="29.25" customHeight="1">
      <c r="B48" s="173" t="s">
        <v>11</v>
      </c>
      <c r="C48" s="173"/>
      <c r="D48" s="173"/>
      <c r="E48" s="14">
        <f>E30+E31+E32+E33+E34+E35+E36+E37+E38+E39+E40+E41+E42+E43+E44+E45+E46+E47</f>
        <v>2621760.06718</v>
      </c>
      <c r="F48" s="14">
        <f>F30+F31+F32+F33+F34+F35+F36+F37+F38+F39+F40+F41+F42+F43+F44+F45+F46+F47</f>
        <v>0</v>
      </c>
      <c r="G48" s="14">
        <f>G30+G31+G32+G33+G34+G35+G36+G37+G38+G39+G40+G41+G42+G43+G44+G45+G46+G47</f>
        <v>2279910.9349899995</v>
      </c>
      <c r="H48" s="14"/>
      <c r="I48" s="14"/>
      <c r="J48" s="14">
        <f>J30+J31+J32+J33+J34+J35+J36+J37+J38+J39+J40+J41+J42+J43+J44+J45+J46+J47</f>
        <v>2621760.06718</v>
      </c>
      <c r="K48" s="46"/>
      <c r="L48" s="14">
        <f>L30+L31+L32+L33+L34+L35+L36+L37+L38+L39+L40+L41+L42+L43+L44+L45+L46+L47</f>
        <v>2591700.32264</v>
      </c>
      <c r="M48" s="48"/>
      <c r="N48" s="48"/>
      <c r="O48" s="48"/>
      <c r="P48" s="48"/>
      <c r="Q48" s="14">
        <f>Q30+Q31+Q32+Q33+Q34+Q35+Q36+Q37+Q38+Q39+Q40+Q41+Q42+Q43+Q44+Q45+Q46+Q47</f>
        <v>2591700.32264</v>
      </c>
      <c r="T48" s="141"/>
      <c r="U48" s="141"/>
      <c r="V48" s="141"/>
    </row>
    <row r="49" spans="2:22" ht="29.25" customHeight="1">
      <c r="B49" s="190" t="s">
        <v>21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2"/>
      <c r="M49" s="193"/>
      <c r="N49" s="193"/>
      <c r="O49" s="193"/>
      <c r="P49" s="193"/>
      <c r="Q49" s="194"/>
      <c r="T49" s="141"/>
      <c r="U49" s="141"/>
      <c r="V49" s="141"/>
    </row>
    <row r="50" spans="2:17" ht="22.5" customHeight="1">
      <c r="B50" s="180" t="s">
        <v>47</v>
      </c>
      <c r="C50" s="44" t="s">
        <v>71</v>
      </c>
      <c r="D50" s="12" t="s">
        <v>33</v>
      </c>
      <c r="E50" s="25">
        <f>I50+J50</f>
        <v>60284.948</v>
      </c>
      <c r="F50" s="13"/>
      <c r="G50" s="13"/>
      <c r="H50" s="13"/>
      <c r="I50" s="13"/>
      <c r="J50" s="13">
        <v>60284.948</v>
      </c>
      <c r="K50" s="114"/>
      <c r="L50" s="47">
        <f>P50+Q50</f>
        <v>48028.13337</v>
      </c>
      <c r="M50" s="48"/>
      <c r="N50" s="48"/>
      <c r="O50" s="48"/>
      <c r="P50" s="48"/>
      <c r="Q50" s="47">
        <v>48028.13337</v>
      </c>
    </row>
    <row r="51" spans="2:17" ht="18.75" customHeight="1">
      <c r="B51" s="181"/>
      <c r="C51" s="35" t="s">
        <v>13</v>
      </c>
      <c r="D51" s="19"/>
      <c r="E51" s="14">
        <f>E50</f>
        <v>60284.948</v>
      </c>
      <c r="F51" s="14"/>
      <c r="G51" s="14"/>
      <c r="H51" s="14"/>
      <c r="I51" s="14"/>
      <c r="J51" s="14">
        <f>J50</f>
        <v>60284.948</v>
      </c>
      <c r="K51" s="112"/>
      <c r="L51" s="46">
        <f>L50</f>
        <v>48028.13337</v>
      </c>
      <c r="M51" s="48"/>
      <c r="N51" s="48"/>
      <c r="O51" s="48"/>
      <c r="P51" s="48"/>
      <c r="Q51" s="46">
        <f>Q50</f>
        <v>48028.13337</v>
      </c>
    </row>
    <row r="52" spans="2:17" ht="31.5" customHeight="1">
      <c r="B52" s="172" t="s">
        <v>52</v>
      </c>
      <c r="C52" s="33" t="s">
        <v>66</v>
      </c>
      <c r="D52" s="12" t="s">
        <v>61</v>
      </c>
      <c r="E52" s="25">
        <f>I52+J52</f>
        <v>4587.499</v>
      </c>
      <c r="F52" s="13"/>
      <c r="G52" s="13"/>
      <c r="H52" s="13"/>
      <c r="I52" s="13"/>
      <c r="J52" s="13">
        <v>4587.499</v>
      </c>
      <c r="K52" s="53"/>
      <c r="L52" s="47">
        <f>P52+Q52</f>
        <v>4587.499</v>
      </c>
      <c r="M52" s="48"/>
      <c r="N52" s="48"/>
      <c r="O52" s="48"/>
      <c r="P52" s="48"/>
      <c r="Q52" s="13">
        <v>4587.499</v>
      </c>
    </row>
    <row r="53" spans="2:17" ht="19.5" customHeight="1">
      <c r="B53" s="172"/>
      <c r="C53" s="35" t="s">
        <v>13</v>
      </c>
      <c r="D53" s="27"/>
      <c r="E53" s="26">
        <f>E52</f>
        <v>4587.499</v>
      </c>
      <c r="F53" s="14"/>
      <c r="G53" s="26">
        <f>G52</f>
        <v>0</v>
      </c>
      <c r="H53" s="14"/>
      <c r="I53" s="26"/>
      <c r="J53" s="26">
        <f>J52</f>
        <v>4587.499</v>
      </c>
      <c r="K53" s="32"/>
      <c r="L53" s="26">
        <f>L52</f>
        <v>4587.499</v>
      </c>
      <c r="M53" s="48"/>
      <c r="N53" s="48"/>
      <c r="O53" s="48"/>
      <c r="P53" s="48"/>
      <c r="Q53" s="26">
        <f>Q52</f>
        <v>4587.499</v>
      </c>
    </row>
    <row r="54" spans="2:17" ht="25.5" customHeight="1" hidden="1">
      <c r="B54" s="18" t="s">
        <v>26</v>
      </c>
      <c r="C54" s="29" t="s">
        <v>36</v>
      </c>
      <c r="D54" s="28" t="s">
        <v>27</v>
      </c>
      <c r="E54" s="25"/>
      <c r="F54" s="13"/>
      <c r="G54" s="25"/>
      <c r="H54" s="13"/>
      <c r="I54" s="25"/>
      <c r="J54" s="25"/>
      <c r="K54" s="114"/>
      <c r="L54" s="25"/>
      <c r="M54" s="48"/>
      <c r="N54" s="48"/>
      <c r="O54" s="48"/>
      <c r="P54" s="48"/>
      <c r="Q54" s="25"/>
    </row>
    <row r="55" spans="2:17" ht="14.25" customHeight="1" hidden="1">
      <c r="B55" s="18"/>
      <c r="C55" s="35" t="s">
        <v>13</v>
      </c>
      <c r="D55" s="27"/>
      <c r="E55" s="26">
        <f>E54</f>
        <v>0</v>
      </c>
      <c r="F55" s="14"/>
      <c r="G55" s="26">
        <f>G54</f>
        <v>0</v>
      </c>
      <c r="H55" s="14"/>
      <c r="I55" s="26"/>
      <c r="J55" s="26">
        <f>J54</f>
        <v>0</v>
      </c>
      <c r="K55" s="112"/>
      <c r="L55" s="26">
        <f>L54</f>
        <v>0</v>
      </c>
      <c r="M55" s="48"/>
      <c r="N55" s="48"/>
      <c r="O55" s="48"/>
      <c r="P55" s="48"/>
      <c r="Q55" s="26">
        <f>Q54</f>
        <v>0</v>
      </c>
    </row>
    <row r="56" spans="2:17" ht="28.5" customHeight="1" hidden="1">
      <c r="B56" s="18" t="s">
        <v>28</v>
      </c>
      <c r="C56" s="29" t="s">
        <v>29</v>
      </c>
      <c r="D56" s="28" t="s">
        <v>30</v>
      </c>
      <c r="E56" s="25"/>
      <c r="F56" s="13"/>
      <c r="G56" s="25"/>
      <c r="H56" s="13"/>
      <c r="I56" s="25"/>
      <c r="J56" s="25"/>
      <c r="K56" s="114"/>
      <c r="L56" s="25"/>
      <c r="M56" s="48"/>
      <c r="N56" s="48"/>
      <c r="O56" s="48"/>
      <c r="P56" s="48"/>
      <c r="Q56" s="25"/>
    </row>
    <row r="57" spans="2:17" ht="27.75" customHeight="1" hidden="1">
      <c r="B57" s="18"/>
      <c r="C57" s="29" t="s">
        <v>31</v>
      </c>
      <c r="D57" s="28" t="s">
        <v>15</v>
      </c>
      <c r="E57" s="25"/>
      <c r="F57" s="13"/>
      <c r="G57" s="25"/>
      <c r="H57" s="13"/>
      <c r="I57" s="25"/>
      <c r="J57" s="25"/>
      <c r="K57" s="114"/>
      <c r="L57" s="25"/>
      <c r="M57" s="48"/>
      <c r="N57" s="48"/>
      <c r="O57" s="48"/>
      <c r="P57" s="48"/>
      <c r="Q57" s="25"/>
    </row>
    <row r="58" spans="2:17" ht="20.25" customHeight="1" hidden="1">
      <c r="B58" s="18"/>
      <c r="C58" s="34" t="s">
        <v>13</v>
      </c>
      <c r="D58" s="28"/>
      <c r="E58" s="25"/>
      <c r="F58" s="13"/>
      <c r="G58" s="25"/>
      <c r="H58" s="13"/>
      <c r="I58" s="25"/>
      <c r="J58" s="25"/>
      <c r="K58" s="114"/>
      <c r="L58" s="25"/>
      <c r="M58" s="48"/>
      <c r="N58" s="48"/>
      <c r="O58" s="48"/>
      <c r="P58" s="48"/>
      <c r="Q58" s="25"/>
    </row>
    <row r="59" spans="2:17" ht="25.5" customHeight="1" hidden="1">
      <c r="B59" s="18" t="s">
        <v>32</v>
      </c>
      <c r="C59" s="29"/>
      <c r="D59" s="29"/>
      <c r="E59" s="25"/>
      <c r="F59" s="13"/>
      <c r="G59" s="25"/>
      <c r="H59" s="13"/>
      <c r="I59" s="25"/>
      <c r="J59" s="25"/>
      <c r="K59" s="114"/>
      <c r="L59" s="25"/>
      <c r="M59" s="48"/>
      <c r="N59" s="48"/>
      <c r="O59" s="48"/>
      <c r="P59" s="48"/>
      <c r="Q59" s="25"/>
    </row>
    <row r="60" spans="2:17" ht="13.5" customHeight="1" hidden="1">
      <c r="B60" s="18"/>
      <c r="C60" s="29"/>
      <c r="D60" s="28"/>
      <c r="E60" s="25"/>
      <c r="F60" s="13"/>
      <c r="G60" s="25"/>
      <c r="H60" s="13"/>
      <c r="I60" s="25"/>
      <c r="J60" s="25"/>
      <c r="K60" s="114"/>
      <c r="L60" s="25"/>
      <c r="M60" s="48"/>
      <c r="N60" s="48"/>
      <c r="O60" s="48"/>
      <c r="P60" s="48"/>
      <c r="Q60" s="25"/>
    </row>
    <row r="61" spans="2:17" ht="26.25" customHeight="1">
      <c r="B61" s="172" t="s">
        <v>48</v>
      </c>
      <c r="C61" s="29" t="s">
        <v>67</v>
      </c>
      <c r="D61" s="28" t="s">
        <v>62</v>
      </c>
      <c r="E61" s="25">
        <f>I61+J61</f>
        <v>30530.951</v>
      </c>
      <c r="F61" s="13"/>
      <c r="G61" s="25"/>
      <c r="H61" s="13"/>
      <c r="I61" s="25"/>
      <c r="J61" s="25">
        <v>30530.951</v>
      </c>
      <c r="K61" s="114">
        <v>0.4</v>
      </c>
      <c r="L61" s="47">
        <f>P61+Q61</f>
        <v>29506.05609</v>
      </c>
      <c r="M61" s="48"/>
      <c r="N61" s="48"/>
      <c r="O61" s="48"/>
      <c r="P61" s="48"/>
      <c r="Q61" s="25">
        <v>29506.05609</v>
      </c>
    </row>
    <row r="62" spans="2:17" ht="29.25" customHeight="1">
      <c r="B62" s="168"/>
      <c r="C62" s="29" t="s">
        <v>68</v>
      </c>
      <c r="D62" s="28" t="s">
        <v>63</v>
      </c>
      <c r="E62" s="25">
        <f>I62+J62</f>
        <v>464329.516</v>
      </c>
      <c r="F62" s="13"/>
      <c r="G62" s="25"/>
      <c r="H62" s="13"/>
      <c r="I62" s="25"/>
      <c r="J62" s="25">
        <v>464329.516</v>
      </c>
      <c r="K62" s="114"/>
      <c r="L62" s="47">
        <f>P62+Q62</f>
        <v>449331.40206</v>
      </c>
      <c r="M62" s="48"/>
      <c r="N62" s="48"/>
      <c r="O62" s="48"/>
      <c r="P62" s="48"/>
      <c r="Q62" s="25">
        <v>449331.40206</v>
      </c>
    </row>
    <row r="63" spans="2:17" ht="28.5" customHeight="1">
      <c r="B63" s="168"/>
      <c r="C63" s="29" t="s">
        <v>72</v>
      </c>
      <c r="D63" s="28" t="s">
        <v>64</v>
      </c>
      <c r="E63" s="25">
        <f>I63+J63</f>
        <v>52068.375</v>
      </c>
      <c r="F63" s="13"/>
      <c r="G63" s="25"/>
      <c r="H63" s="13"/>
      <c r="I63" s="25"/>
      <c r="J63" s="25">
        <v>52068.375</v>
      </c>
      <c r="K63" s="114"/>
      <c r="L63" s="47">
        <f>P63+Q63</f>
        <v>7951.6209</v>
      </c>
      <c r="M63" s="48"/>
      <c r="N63" s="48"/>
      <c r="O63" s="48"/>
      <c r="P63" s="48"/>
      <c r="Q63" s="25">
        <v>7951.6209</v>
      </c>
    </row>
    <row r="64" spans="2:17" ht="19.5" customHeight="1">
      <c r="B64" s="168"/>
      <c r="C64" s="35" t="s">
        <v>13</v>
      </c>
      <c r="D64" s="28"/>
      <c r="E64" s="26">
        <f>SUM(E58:E63)</f>
        <v>546928.842</v>
      </c>
      <c r="F64" s="14"/>
      <c r="G64" s="26"/>
      <c r="H64" s="14"/>
      <c r="I64" s="26"/>
      <c r="J64" s="26">
        <f>SUM(J58:J63)</f>
        <v>546928.842</v>
      </c>
      <c r="K64" s="112">
        <f>SUM(K56:K63)</f>
        <v>0.4</v>
      </c>
      <c r="L64" s="26">
        <f>SUM(L58:L63)</f>
        <v>486789.07904999994</v>
      </c>
      <c r="M64" s="48"/>
      <c r="N64" s="48"/>
      <c r="O64" s="48"/>
      <c r="P64" s="48"/>
      <c r="Q64" s="26">
        <f>SUM(Q58:Q63)</f>
        <v>486789.07904999994</v>
      </c>
    </row>
    <row r="65" spans="2:17" ht="27.75" customHeight="1">
      <c r="B65" s="172" t="s">
        <v>45</v>
      </c>
      <c r="C65" s="33" t="s">
        <v>19</v>
      </c>
      <c r="D65" s="12" t="s">
        <v>23</v>
      </c>
      <c r="E65" s="25">
        <f>I65+J65</f>
        <v>16.237</v>
      </c>
      <c r="F65" s="13"/>
      <c r="G65" s="13"/>
      <c r="H65" s="13"/>
      <c r="I65" s="13"/>
      <c r="J65" s="13">
        <v>16.237</v>
      </c>
      <c r="K65" s="114">
        <v>4.45</v>
      </c>
      <c r="L65" s="47">
        <f>P65+Q65</f>
        <v>16.237</v>
      </c>
      <c r="M65" s="48"/>
      <c r="N65" s="48"/>
      <c r="O65" s="48"/>
      <c r="P65" s="48"/>
      <c r="Q65" s="13">
        <v>16.237</v>
      </c>
    </row>
    <row r="66" spans="2:17" ht="19.5" customHeight="1">
      <c r="B66" s="172"/>
      <c r="C66" s="35" t="s">
        <v>13</v>
      </c>
      <c r="D66" s="27"/>
      <c r="E66" s="26">
        <f>E65</f>
        <v>16.237</v>
      </c>
      <c r="F66" s="14"/>
      <c r="G66" s="26">
        <f>G65</f>
        <v>0</v>
      </c>
      <c r="H66" s="14"/>
      <c r="I66" s="26"/>
      <c r="J66" s="26">
        <f>J65</f>
        <v>16.237</v>
      </c>
      <c r="K66" s="32">
        <f>K65</f>
        <v>4.45</v>
      </c>
      <c r="L66" s="26">
        <f>L65</f>
        <v>16.237</v>
      </c>
      <c r="M66" s="48"/>
      <c r="N66" s="48"/>
      <c r="O66" s="48"/>
      <c r="P66" s="48"/>
      <c r="Q66" s="26">
        <f>Q65</f>
        <v>16.237</v>
      </c>
    </row>
    <row r="67" spans="2:17" ht="45.75" customHeight="1">
      <c r="B67" s="172" t="s">
        <v>50</v>
      </c>
      <c r="C67" s="33" t="s">
        <v>69</v>
      </c>
      <c r="D67" s="20" t="s">
        <v>65</v>
      </c>
      <c r="E67" s="25">
        <f>I67+J67</f>
        <v>2599.502</v>
      </c>
      <c r="F67" s="13"/>
      <c r="G67" s="13"/>
      <c r="H67" s="13"/>
      <c r="I67" s="13"/>
      <c r="J67" s="13">
        <v>2599.502</v>
      </c>
      <c r="K67" s="114">
        <v>0.815</v>
      </c>
      <c r="L67" s="47">
        <f>P67+Q67</f>
        <v>2599.502</v>
      </c>
      <c r="M67" s="48"/>
      <c r="N67" s="48"/>
      <c r="O67" s="48"/>
      <c r="P67" s="48"/>
      <c r="Q67" s="13">
        <v>2599.502</v>
      </c>
    </row>
    <row r="68" spans="2:17" ht="16.5" customHeight="1">
      <c r="B68" s="172"/>
      <c r="C68" s="35" t="s">
        <v>13</v>
      </c>
      <c r="D68" s="27"/>
      <c r="E68" s="26">
        <f>E67</f>
        <v>2599.502</v>
      </c>
      <c r="F68" s="14"/>
      <c r="G68" s="26">
        <f>G67</f>
        <v>0</v>
      </c>
      <c r="H68" s="14"/>
      <c r="I68" s="26"/>
      <c r="J68" s="26">
        <f>J67</f>
        <v>2599.502</v>
      </c>
      <c r="K68" s="32">
        <f>K67</f>
        <v>0.815</v>
      </c>
      <c r="L68" s="26">
        <f>L67</f>
        <v>2599.502</v>
      </c>
      <c r="M68" s="48"/>
      <c r="N68" s="48"/>
      <c r="O68" s="48"/>
      <c r="P68" s="48"/>
      <c r="Q68" s="26">
        <f>Q67</f>
        <v>2599.502</v>
      </c>
    </row>
    <row r="69" spans="2:17" ht="28.5" customHeight="1">
      <c r="B69" s="172" t="s">
        <v>49</v>
      </c>
      <c r="C69" s="33" t="s">
        <v>70</v>
      </c>
      <c r="D69" s="20" t="s">
        <v>73</v>
      </c>
      <c r="E69" s="25">
        <f>I69+J69</f>
        <v>139725.443</v>
      </c>
      <c r="F69" s="13"/>
      <c r="G69" s="13"/>
      <c r="H69" s="13"/>
      <c r="I69" s="13"/>
      <c r="J69" s="13">
        <v>139725.443</v>
      </c>
      <c r="K69" s="159">
        <v>4.922</v>
      </c>
      <c r="L69" s="47">
        <f>P69+Q69</f>
        <v>126618.64023</v>
      </c>
      <c r="M69" s="48"/>
      <c r="N69" s="48"/>
      <c r="O69" s="48"/>
      <c r="P69" s="48"/>
      <c r="Q69" s="13">
        <v>126618.64023</v>
      </c>
    </row>
    <row r="70" spans="2:17" ht="18.75" customHeight="1">
      <c r="B70" s="172"/>
      <c r="C70" s="35" t="s">
        <v>13</v>
      </c>
      <c r="D70" s="27"/>
      <c r="E70" s="26">
        <f>E69</f>
        <v>139725.443</v>
      </c>
      <c r="F70" s="14"/>
      <c r="G70" s="26">
        <f>G69</f>
        <v>0</v>
      </c>
      <c r="H70" s="14"/>
      <c r="I70" s="26"/>
      <c r="J70" s="26">
        <f>J69</f>
        <v>139725.443</v>
      </c>
      <c r="K70" s="32">
        <f>K69</f>
        <v>4.922</v>
      </c>
      <c r="L70" s="26">
        <f>L69</f>
        <v>126618.64023</v>
      </c>
      <c r="M70" s="48"/>
      <c r="N70" s="48"/>
      <c r="O70" s="48"/>
      <c r="P70" s="48"/>
      <c r="Q70" s="26">
        <f>Q69</f>
        <v>126618.64023</v>
      </c>
    </row>
    <row r="71" spans="2:17" ht="32.25" customHeight="1">
      <c r="B71" s="172" t="s">
        <v>55</v>
      </c>
      <c r="C71" s="34" t="s">
        <v>74</v>
      </c>
      <c r="D71" s="28" t="s">
        <v>75</v>
      </c>
      <c r="E71" s="25">
        <f>I71+J71</f>
        <v>59136.413</v>
      </c>
      <c r="F71" s="13"/>
      <c r="G71" s="25"/>
      <c r="H71" s="13"/>
      <c r="I71" s="25"/>
      <c r="J71" s="25">
        <v>59136.413</v>
      </c>
      <c r="K71" s="114"/>
      <c r="L71" s="47">
        <f>P71+Q71</f>
        <v>40370.59844</v>
      </c>
      <c r="M71" s="48"/>
      <c r="N71" s="48"/>
      <c r="O71" s="48"/>
      <c r="P71" s="48"/>
      <c r="Q71" s="25">
        <v>40370.59844</v>
      </c>
    </row>
    <row r="72" spans="2:17" ht="18.75" customHeight="1">
      <c r="B72" s="168"/>
      <c r="C72" s="35" t="s">
        <v>13</v>
      </c>
      <c r="D72" s="27"/>
      <c r="E72" s="26">
        <f>E71</f>
        <v>59136.413</v>
      </c>
      <c r="F72" s="14"/>
      <c r="G72" s="26"/>
      <c r="H72" s="14"/>
      <c r="I72" s="26"/>
      <c r="J72" s="26">
        <f>J71</f>
        <v>59136.413</v>
      </c>
      <c r="K72" s="32">
        <f>K71</f>
        <v>0</v>
      </c>
      <c r="L72" s="26">
        <f>L71</f>
        <v>40370.59844</v>
      </c>
      <c r="M72" s="48"/>
      <c r="N72" s="48"/>
      <c r="O72" s="48"/>
      <c r="P72" s="48"/>
      <c r="Q72" s="26">
        <f>Q71</f>
        <v>40370.59844</v>
      </c>
    </row>
    <row r="73" spans="2:17" ht="25.5" customHeight="1">
      <c r="B73" s="172" t="s">
        <v>56</v>
      </c>
      <c r="C73" s="33" t="s">
        <v>18</v>
      </c>
      <c r="D73" s="20" t="s">
        <v>73</v>
      </c>
      <c r="E73" s="25">
        <f>I73+J73</f>
        <v>29597.648</v>
      </c>
      <c r="F73" s="13"/>
      <c r="G73" s="13"/>
      <c r="H73" s="13"/>
      <c r="I73" s="13"/>
      <c r="J73" s="13">
        <v>29597.648</v>
      </c>
      <c r="K73" s="114">
        <v>3.97</v>
      </c>
      <c r="L73" s="47">
        <f>P73+Q73</f>
        <v>29597.648</v>
      </c>
      <c r="M73" s="48"/>
      <c r="N73" s="48"/>
      <c r="O73" s="48"/>
      <c r="P73" s="48"/>
      <c r="Q73" s="13">
        <v>29597.648</v>
      </c>
    </row>
    <row r="74" spans="2:17" ht="20.25" customHeight="1">
      <c r="B74" s="172"/>
      <c r="C74" s="35" t="s">
        <v>13</v>
      </c>
      <c r="D74" s="27"/>
      <c r="E74" s="26">
        <f>E73</f>
        <v>29597.648</v>
      </c>
      <c r="F74" s="14"/>
      <c r="G74" s="26">
        <f>G73</f>
        <v>0</v>
      </c>
      <c r="H74" s="14"/>
      <c r="I74" s="26"/>
      <c r="J74" s="26">
        <f>J73</f>
        <v>29597.648</v>
      </c>
      <c r="K74" s="32">
        <f>K73</f>
        <v>3.97</v>
      </c>
      <c r="L74" s="26">
        <f>L73</f>
        <v>29597.648</v>
      </c>
      <c r="M74" s="48"/>
      <c r="N74" s="48"/>
      <c r="O74" s="48"/>
      <c r="P74" s="48"/>
      <c r="Q74" s="26">
        <f>Q73</f>
        <v>29597.648</v>
      </c>
    </row>
    <row r="75" spans="2:17" ht="30.75" customHeight="1">
      <c r="B75" s="172" t="s">
        <v>57</v>
      </c>
      <c r="C75" s="34" t="s">
        <v>76</v>
      </c>
      <c r="D75" s="177" t="s">
        <v>78</v>
      </c>
      <c r="E75" s="25">
        <f>I75+J75</f>
        <v>108941.038</v>
      </c>
      <c r="F75" s="14"/>
      <c r="G75" s="26"/>
      <c r="H75" s="14"/>
      <c r="I75" s="25">
        <v>79231.075</v>
      </c>
      <c r="J75" s="25">
        <v>29709.963</v>
      </c>
      <c r="K75" s="112"/>
      <c r="L75" s="47">
        <f>P75+Q75</f>
        <v>45070.55554</v>
      </c>
      <c r="M75" s="48"/>
      <c r="N75" s="48"/>
      <c r="O75" s="48"/>
      <c r="P75" s="25">
        <v>32417.47389</v>
      </c>
      <c r="Q75" s="25">
        <v>12653.08165</v>
      </c>
    </row>
    <row r="76" spans="2:17" ht="19.5" customHeight="1">
      <c r="B76" s="168"/>
      <c r="C76" s="45" t="s">
        <v>77</v>
      </c>
      <c r="D76" s="163"/>
      <c r="E76" s="25">
        <f>I76+J76</f>
        <v>386122.202</v>
      </c>
      <c r="F76" s="14"/>
      <c r="G76" s="26"/>
      <c r="H76" s="14"/>
      <c r="I76" s="25">
        <v>356946.475</v>
      </c>
      <c r="J76" s="25">
        <v>29175.727</v>
      </c>
      <c r="K76" s="112"/>
      <c r="L76" s="47">
        <f>P76+Q76</f>
        <v>320204.66551</v>
      </c>
      <c r="M76" s="48"/>
      <c r="N76" s="48"/>
      <c r="O76" s="48"/>
      <c r="P76" s="25">
        <v>320204.66551</v>
      </c>
      <c r="Q76" s="25"/>
    </row>
    <row r="77" spans="2:17" ht="20.25" customHeight="1">
      <c r="B77" s="168"/>
      <c r="C77" s="35" t="s">
        <v>13</v>
      </c>
      <c r="D77" s="27"/>
      <c r="E77" s="26">
        <f>E75+E76</f>
        <v>495063.24</v>
      </c>
      <c r="F77" s="14"/>
      <c r="G77" s="26"/>
      <c r="H77" s="14"/>
      <c r="I77" s="26">
        <f>I75+I76</f>
        <v>436177.55</v>
      </c>
      <c r="J77" s="26">
        <f>J75+J76</f>
        <v>58885.69</v>
      </c>
      <c r="K77" s="32"/>
      <c r="L77" s="26">
        <f>L75+L76</f>
        <v>365275.22105000005</v>
      </c>
      <c r="M77" s="48"/>
      <c r="N77" s="48"/>
      <c r="O77" s="48"/>
      <c r="P77" s="26">
        <f>P75+P76</f>
        <v>352622.13940000004</v>
      </c>
      <c r="Q77" s="26">
        <f>Q75+Q76</f>
        <v>12653.08165</v>
      </c>
    </row>
    <row r="78" spans="2:17" ht="27" customHeight="1">
      <c r="B78" s="172" t="s">
        <v>59</v>
      </c>
      <c r="C78" s="33" t="s">
        <v>24</v>
      </c>
      <c r="D78" s="20" t="s">
        <v>73</v>
      </c>
      <c r="E78" s="25">
        <f>I78+J78</f>
        <v>12643.711</v>
      </c>
      <c r="F78" s="13"/>
      <c r="G78" s="25"/>
      <c r="H78" s="13"/>
      <c r="I78" s="25"/>
      <c r="J78" s="25">
        <v>12643.711</v>
      </c>
      <c r="K78" s="114"/>
      <c r="L78" s="47">
        <f>P78+Q78</f>
        <v>0</v>
      </c>
      <c r="M78" s="48"/>
      <c r="N78" s="48"/>
      <c r="O78" s="48"/>
      <c r="P78" s="48"/>
      <c r="Q78" s="13">
        <v>0</v>
      </c>
    </row>
    <row r="79" spans="2:17" ht="27" customHeight="1">
      <c r="B79" s="172"/>
      <c r="C79" s="33" t="s">
        <v>79</v>
      </c>
      <c r="D79" s="20" t="s">
        <v>80</v>
      </c>
      <c r="E79" s="25">
        <f>I79+J79</f>
        <v>342298.578</v>
      </c>
      <c r="F79" s="13"/>
      <c r="G79" s="25"/>
      <c r="H79" s="13"/>
      <c r="I79" s="25"/>
      <c r="J79" s="25">
        <v>342298.578</v>
      </c>
      <c r="K79" s="114"/>
      <c r="L79" s="47">
        <f>P79+Q79</f>
        <v>167928.88189</v>
      </c>
      <c r="M79" s="48"/>
      <c r="N79" s="48"/>
      <c r="O79" s="48"/>
      <c r="P79" s="48"/>
      <c r="Q79" s="13">
        <v>167928.88189</v>
      </c>
    </row>
    <row r="80" spans="2:17" ht="20.25" customHeight="1">
      <c r="B80" s="172"/>
      <c r="C80" s="35" t="s">
        <v>13</v>
      </c>
      <c r="D80" s="27"/>
      <c r="E80" s="26">
        <f>E78+E79</f>
        <v>354942.289</v>
      </c>
      <c r="F80" s="14"/>
      <c r="G80" s="26">
        <f>G78</f>
        <v>0</v>
      </c>
      <c r="H80" s="14"/>
      <c r="I80" s="26"/>
      <c r="J80" s="26">
        <f>J78+J79</f>
        <v>354942.289</v>
      </c>
      <c r="K80" s="112"/>
      <c r="L80" s="26">
        <f>L78+L79</f>
        <v>167928.88189</v>
      </c>
      <c r="M80" s="48"/>
      <c r="N80" s="48"/>
      <c r="O80" s="48"/>
      <c r="P80" s="48"/>
      <c r="Q80" s="26">
        <f>Q78+Q79</f>
        <v>167928.88189</v>
      </c>
    </row>
    <row r="81" spans="2:17" ht="19.5" customHeight="1" hidden="1">
      <c r="B81" s="51"/>
      <c r="C81" s="35"/>
      <c r="D81" s="27"/>
      <c r="E81" s="26">
        <f>E80+E77+E74+E72+E70+E68+E66+E64+E53+E51</f>
        <v>1692882.0610000002</v>
      </c>
      <c r="F81" s="14"/>
      <c r="G81" s="26">
        <f>G53+G55+G58+G66+G68+G70+G74+G80</f>
        <v>0</v>
      </c>
      <c r="H81" s="14"/>
      <c r="I81" s="26">
        <f>I80+I77+I74+I72+I70+I68+I66+I64+I53+I51</f>
        <v>436177.55</v>
      </c>
      <c r="J81" s="26">
        <f>J80+J77+J74+J72+J70+J68+J66+J64+J53+J51</f>
        <v>1256704.511</v>
      </c>
      <c r="K81" s="32">
        <f>K80+K77+K74+K72+K70+K68+K66+K64+K53+K51</f>
        <v>14.557</v>
      </c>
      <c r="L81" s="26">
        <f>L80+L77+L74+L72+L70+L68+L66+L64+L53+L51</f>
        <v>1271811.44003</v>
      </c>
      <c r="M81" s="48"/>
      <c r="N81" s="48"/>
      <c r="O81" s="48"/>
      <c r="P81" s="26">
        <f>P80+P77+P74+P72+P70+P68+P66+P64+P53+P51</f>
        <v>352622.13940000004</v>
      </c>
      <c r="Q81" s="26">
        <f>Q80+Q77+Q74+Q72+Q70+Q68+Q66+Q64+Q53+Q51</f>
        <v>919189.30063</v>
      </c>
    </row>
    <row r="82" spans="2:17" ht="14.25" customHeight="1">
      <c r="B82" s="175" t="s">
        <v>14</v>
      </c>
      <c r="C82" s="175"/>
      <c r="D82" s="12"/>
      <c r="E82" s="13">
        <f>I82+J82</f>
        <v>92466.041</v>
      </c>
      <c r="F82" s="13"/>
      <c r="G82" s="13">
        <v>60215.1</v>
      </c>
      <c r="H82" s="13"/>
      <c r="I82" s="13"/>
      <c r="J82" s="13">
        <v>92466.041</v>
      </c>
      <c r="K82" s="114"/>
      <c r="L82" s="47">
        <f>P82+Q82</f>
        <v>47557.4</v>
      </c>
      <c r="M82" s="48"/>
      <c r="N82" s="48"/>
      <c r="O82" s="48"/>
      <c r="P82" s="48"/>
      <c r="Q82" s="13">
        <v>47557.4</v>
      </c>
    </row>
    <row r="83" spans="2:17" ht="7.5" customHeight="1" hidden="1">
      <c r="B83" s="175" t="s">
        <v>81</v>
      </c>
      <c r="C83" s="175"/>
      <c r="D83" s="12"/>
      <c r="E83" s="13"/>
      <c r="F83" s="13"/>
      <c r="G83" s="13"/>
      <c r="H83" s="13"/>
      <c r="I83" s="13"/>
      <c r="J83" s="13"/>
      <c r="K83" s="114"/>
      <c r="L83" s="13"/>
      <c r="M83" s="48"/>
      <c r="N83" s="48"/>
      <c r="O83" s="48"/>
      <c r="P83" s="48"/>
      <c r="Q83" s="13"/>
    </row>
    <row r="84" spans="2:17" ht="20.25" customHeight="1">
      <c r="B84" s="182" t="s">
        <v>85</v>
      </c>
      <c r="C84" s="183"/>
      <c r="D84" s="184"/>
      <c r="E84" s="13">
        <f>I84+J84</f>
        <v>146800</v>
      </c>
      <c r="F84" s="13"/>
      <c r="G84" s="13"/>
      <c r="H84" s="13"/>
      <c r="I84" s="13">
        <v>146800</v>
      </c>
      <c r="J84" s="13"/>
      <c r="K84" s="114"/>
      <c r="L84" s="13"/>
      <c r="M84" s="48"/>
      <c r="N84" s="48"/>
      <c r="O84" s="48"/>
      <c r="P84" s="48"/>
      <c r="Q84" s="13"/>
    </row>
    <row r="85" spans="2:17" ht="27.75" customHeight="1">
      <c r="B85" s="173" t="s">
        <v>12</v>
      </c>
      <c r="C85" s="173"/>
      <c r="D85" s="173"/>
      <c r="E85" s="14">
        <f>E81+E82+E84</f>
        <v>1932148.1020000002</v>
      </c>
      <c r="F85" s="14"/>
      <c r="G85" s="14">
        <f>G81+G82</f>
        <v>60215.1</v>
      </c>
      <c r="H85" s="14"/>
      <c r="I85" s="14">
        <f>I81+I82+I84</f>
        <v>582977.55</v>
      </c>
      <c r="J85" s="14">
        <f>J81+J82+J84</f>
        <v>1349170.552</v>
      </c>
      <c r="K85" s="112">
        <f>K81+K82+K84</f>
        <v>14.557</v>
      </c>
      <c r="L85" s="14">
        <f>L81+L82</f>
        <v>1319368.8400299998</v>
      </c>
      <c r="M85" s="48"/>
      <c r="N85" s="48"/>
      <c r="O85" s="48"/>
      <c r="P85" s="14">
        <f>P81+P82</f>
        <v>352622.13940000004</v>
      </c>
      <c r="Q85" s="14">
        <f>Q81+Q82</f>
        <v>966746.70063</v>
      </c>
    </row>
    <row r="86" spans="2:17" ht="26.25" customHeight="1">
      <c r="B86" s="190" t="s">
        <v>22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2"/>
      <c r="M86" s="200"/>
      <c r="N86" s="200"/>
      <c r="O86" s="200"/>
      <c r="P86" s="200"/>
      <c r="Q86" s="201"/>
    </row>
    <row r="87" spans="1:17" ht="31.5" customHeight="1">
      <c r="A87" s="59"/>
      <c r="B87" s="204" t="s">
        <v>47</v>
      </c>
      <c r="C87" s="75" t="s">
        <v>88</v>
      </c>
      <c r="D87" s="176" t="s">
        <v>123</v>
      </c>
      <c r="E87" s="47">
        <f>I87+J87</f>
        <v>36202.449</v>
      </c>
      <c r="F87" s="35"/>
      <c r="G87" s="35"/>
      <c r="H87" s="35"/>
      <c r="I87" s="46"/>
      <c r="J87" s="76">
        <v>36202.449</v>
      </c>
      <c r="K87" s="114">
        <v>4</v>
      </c>
      <c r="L87" s="47">
        <f>P87+Q87</f>
        <v>36202.44868</v>
      </c>
      <c r="M87" s="130"/>
      <c r="N87" s="130"/>
      <c r="O87" s="130"/>
      <c r="P87" s="130"/>
      <c r="Q87" s="130">
        <v>36202.44868</v>
      </c>
    </row>
    <row r="88" spans="1:17" ht="29.25" customHeight="1">
      <c r="A88" s="59"/>
      <c r="B88" s="203"/>
      <c r="C88" s="75" t="s">
        <v>89</v>
      </c>
      <c r="D88" s="161"/>
      <c r="E88" s="47">
        <f>I88+J88</f>
        <v>144325.218</v>
      </c>
      <c r="F88" s="35"/>
      <c r="G88" s="35"/>
      <c r="H88" s="35"/>
      <c r="I88" s="46"/>
      <c r="J88" s="76">
        <v>144325.218</v>
      </c>
      <c r="K88" s="114">
        <v>15.56</v>
      </c>
      <c r="L88" s="47">
        <f aca="true" t="shared" si="4" ref="L88:L151">P88+Q88</f>
        <v>144325.21819</v>
      </c>
      <c r="M88" s="130"/>
      <c r="N88" s="130"/>
      <c r="O88" s="130"/>
      <c r="P88" s="130"/>
      <c r="Q88" s="130">
        <v>144325.21819</v>
      </c>
    </row>
    <row r="89" spans="1:17" ht="15.75" customHeight="1">
      <c r="A89" s="59"/>
      <c r="B89" s="60"/>
      <c r="C89" s="35" t="s">
        <v>13</v>
      </c>
      <c r="D89" s="77"/>
      <c r="E89" s="46">
        <f>E87+E88</f>
        <v>180527.667</v>
      </c>
      <c r="F89" s="35"/>
      <c r="G89" s="35"/>
      <c r="H89" s="35"/>
      <c r="I89" s="46"/>
      <c r="J89" s="78">
        <f>J87+J88</f>
        <v>180527.667</v>
      </c>
      <c r="K89" s="116">
        <f>K87+K88</f>
        <v>19.560000000000002</v>
      </c>
      <c r="L89" s="46">
        <f t="shared" si="4"/>
        <v>180527.66687000002</v>
      </c>
      <c r="M89" s="130"/>
      <c r="N89" s="130"/>
      <c r="O89" s="130"/>
      <c r="P89" s="130"/>
      <c r="Q89" s="135">
        <f>SUM(Q87:Q88)</f>
        <v>180527.66687000002</v>
      </c>
    </row>
    <row r="90" spans="1:17" ht="20.25" customHeight="1">
      <c r="A90" s="59"/>
      <c r="B90" s="202" t="s">
        <v>51</v>
      </c>
      <c r="C90" s="79" t="s">
        <v>90</v>
      </c>
      <c r="D90" s="160" t="s">
        <v>124</v>
      </c>
      <c r="E90" s="47">
        <f>I90+J90</f>
        <v>24135.103</v>
      </c>
      <c r="F90" s="35"/>
      <c r="G90" s="35"/>
      <c r="H90" s="35"/>
      <c r="I90" s="46"/>
      <c r="J90" s="76">
        <v>24135.103</v>
      </c>
      <c r="K90" s="114">
        <v>3.12</v>
      </c>
      <c r="L90" s="47">
        <f t="shared" si="4"/>
        <v>24135.10314</v>
      </c>
      <c r="M90" s="130"/>
      <c r="N90" s="130"/>
      <c r="O90" s="130"/>
      <c r="P90" s="130"/>
      <c r="Q90" s="130">
        <v>24135.10314</v>
      </c>
    </row>
    <row r="91" spans="1:17" ht="26.25" customHeight="1">
      <c r="A91" s="59"/>
      <c r="B91" s="203"/>
      <c r="C91" s="81" t="s">
        <v>91</v>
      </c>
      <c r="D91" s="161"/>
      <c r="E91" s="47">
        <f>I91+J91</f>
        <v>36631.959</v>
      </c>
      <c r="F91" s="35"/>
      <c r="G91" s="35"/>
      <c r="H91" s="35"/>
      <c r="I91" s="46"/>
      <c r="J91" s="76">
        <v>36631.959</v>
      </c>
      <c r="K91" s="114">
        <v>2.4</v>
      </c>
      <c r="L91" s="47">
        <f t="shared" si="4"/>
        <v>36631.95947</v>
      </c>
      <c r="M91" s="130"/>
      <c r="N91" s="130"/>
      <c r="O91" s="130"/>
      <c r="P91" s="130"/>
      <c r="Q91" s="130">
        <v>36631.95947</v>
      </c>
    </row>
    <row r="92" spans="1:17" ht="18" customHeight="1">
      <c r="A92" s="59"/>
      <c r="B92" s="66"/>
      <c r="C92" s="67" t="s">
        <v>13</v>
      </c>
      <c r="D92" s="82"/>
      <c r="E92" s="83">
        <f>E90+E91</f>
        <v>60767.062000000005</v>
      </c>
      <c r="F92" s="67"/>
      <c r="G92" s="67"/>
      <c r="H92" s="67"/>
      <c r="I92" s="68"/>
      <c r="J92" s="83">
        <f>J90+J91</f>
        <v>60767.062000000005</v>
      </c>
      <c r="K92" s="117">
        <f>K90+K91</f>
        <v>5.52</v>
      </c>
      <c r="L92" s="46">
        <f t="shared" si="4"/>
        <v>60767.06261</v>
      </c>
      <c r="M92" s="131"/>
      <c r="N92" s="131"/>
      <c r="O92" s="131"/>
      <c r="P92" s="131"/>
      <c r="Q92" s="136">
        <f>SUM(Q90:Q91)</f>
        <v>60767.06261</v>
      </c>
    </row>
    <row r="93" spans="1:17" ht="30.75" customHeight="1">
      <c r="A93" s="72"/>
      <c r="B93" s="186" t="s">
        <v>46</v>
      </c>
      <c r="C93" s="84" t="s">
        <v>92</v>
      </c>
      <c r="D93" s="119" t="s">
        <v>125</v>
      </c>
      <c r="E93" s="47">
        <f>I93+J93</f>
        <v>26619.193</v>
      </c>
      <c r="F93" s="35"/>
      <c r="G93" s="35"/>
      <c r="H93" s="35"/>
      <c r="I93" s="46"/>
      <c r="J93" s="76">
        <v>26619.193</v>
      </c>
      <c r="K93" s="114">
        <v>2</v>
      </c>
      <c r="L93" s="47">
        <f t="shared" si="4"/>
        <v>26619.1931</v>
      </c>
      <c r="M93" s="130"/>
      <c r="N93" s="130"/>
      <c r="O93" s="130"/>
      <c r="P93" s="130"/>
      <c r="Q93" s="130">
        <v>26619.1931</v>
      </c>
    </row>
    <row r="94" spans="1:17" ht="36.75" customHeight="1">
      <c r="A94" s="72"/>
      <c r="B94" s="187"/>
      <c r="C94" s="84" t="s">
        <v>93</v>
      </c>
      <c r="D94" s="120"/>
      <c r="E94" s="47">
        <f>I94+J94</f>
        <v>30686.069</v>
      </c>
      <c r="F94" s="35"/>
      <c r="G94" s="35"/>
      <c r="H94" s="35"/>
      <c r="I94" s="46"/>
      <c r="J94" s="76">
        <v>30686.069</v>
      </c>
      <c r="K94" s="114"/>
      <c r="L94" s="47"/>
      <c r="M94" s="130"/>
      <c r="N94" s="130"/>
      <c r="O94" s="130"/>
      <c r="P94" s="130"/>
      <c r="Q94" s="130"/>
    </row>
    <row r="95" spans="1:17" ht="21.75" customHeight="1">
      <c r="A95" s="72"/>
      <c r="B95" s="74"/>
      <c r="C95" s="35" t="s">
        <v>13</v>
      </c>
      <c r="D95" s="85"/>
      <c r="E95" s="78">
        <f>E93+E94</f>
        <v>57305.262</v>
      </c>
      <c r="F95" s="35"/>
      <c r="G95" s="35"/>
      <c r="H95" s="35"/>
      <c r="I95" s="46"/>
      <c r="J95" s="78">
        <f>J93+J94</f>
        <v>57305.262</v>
      </c>
      <c r="K95" s="116">
        <f>K93+K94</f>
        <v>2</v>
      </c>
      <c r="L95" s="46">
        <f t="shared" si="4"/>
        <v>26619.1931</v>
      </c>
      <c r="M95" s="130"/>
      <c r="N95" s="130"/>
      <c r="O95" s="130"/>
      <c r="P95" s="130"/>
      <c r="Q95" s="135">
        <f>SUM(Q93:Q94)</f>
        <v>26619.1931</v>
      </c>
    </row>
    <row r="96" spans="1:17" ht="21" customHeight="1">
      <c r="A96" s="72"/>
      <c r="B96" s="169" t="s">
        <v>48</v>
      </c>
      <c r="C96" s="86" t="s">
        <v>94</v>
      </c>
      <c r="D96" s="87" t="s">
        <v>75</v>
      </c>
      <c r="E96" s="47">
        <f>I96+J96</f>
        <v>37318.3314</v>
      </c>
      <c r="F96" s="35"/>
      <c r="G96" s="35"/>
      <c r="H96" s="35"/>
      <c r="I96" s="46"/>
      <c r="J96" s="76">
        <v>37318.3314</v>
      </c>
      <c r="K96" s="114">
        <v>3</v>
      </c>
      <c r="L96" s="47">
        <f t="shared" si="4"/>
        <v>37318.33072</v>
      </c>
      <c r="M96" s="130"/>
      <c r="N96" s="130"/>
      <c r="O96" s="130"/>
      <c r="P96" s="130"/>
      <c r="Q96" s="130">
        <v>37318.33072</v>
      </c>
    </row>
    <row r="97" spans="1:17" ht="26.25" customHeight="1">
      <c r="A97" s="72"/>
      <c r="B97" s="169"/>
      <c r="C97" s="86" t="s">
        <v>128</v>
      </c>
      <c r="D97" s="87" t="s">
        <v>62</v>
      </c>
      <c r="E97" s="47">
        <f>I97+J97</f>
        <v>3264.03</v>
      </c>
      <c r="F97" s="35"/>
      <c r="G97" s="35"/>
      <c r="H97" s="35"/>
      <c r="I97" s="46"/>
      <c r="J97" s="76">
        <v>3264.03</v>
      </c>
      <c r="K97" s="114"/>
      <c r="L97" s="47">
        <f t="shared" si="4"/>
        <v>1098.88798</v>
      </c>
      <c r="M97" s="130"/>
      <c r="N97" s="130"/>
      <c r="O97" s="130"/>
      <c r="P97" s="130"/>
      <c r="Q97" s="130">
        <v>1098.88798</v>
      </c>
    </row>
    <row r="98" spans="1:17" ht="29.25" customHeight="1">
      <c r="A98" s="72"/>
      <c r="B98" s="169"/>
      <c r="C98" s="88" t="s">
        <v>95</v>
      </c>
      <c r="D98" s="87" t="s">
        <v>124</v>
      </c>
      <c r="E98" s="47">
        <f>I98+J98</f>
        <v>5686.444</v>
      </c>
      <c r="F98" s="35"/>
      <c r="G98" s="35"/>
      <c r="H98" s="35"/>
      <c r="I98" s="46"/>
      <c r="J98" s="89">
        <v>5686.444</v>
      </c>
      <c r="K98" s="114">
        <v>1.04</v>
      </c>
      <c r="L98" s="47">
        <f t="shared" si="4"/>
        <v>3186.19942</v>
      </c>
      <c r="M98" s="130"/>
      <c r="N98" s="130"/>
      <c r="O98" s="130"/>
      <c r="P98" s="130"/>
      <c r="Q98" s="130">
        <v>3186.19942</v>
      </c>
    </row>
    <row r="99" spans="1:17" ht="21.75" customHeight="1">
      <c r="A99" s="59"/>
      <c r="B99" s="69"/>
      <c r="C99" s="70" t="s">
        <v>13</v>
      </c>
      <c r="D99" s="90"/>
      <c r="E99" s="71">
        <f>SUM(E96:E98)</f>
        <v>46268.805400000005</v>
      </c>
      <c r="F99" s="70"/>
      <c r="G99" s="70"/>
      <c r="H99" s="70"/>
      <c r="I99" s="71"/>
      <c r="J99" s="91">
        <f>J96+J97+J98</f>
        <v>46268.805400000005</v>
      </c>
      <c r="K99" s="118">
        <f>K96+K97+K98</f>
        <v>4.04</v>
      </c>
      <c r="L99" s="46">
        <f t="shared" si="4"/>
        <v>41603.418119999995</v>
      </c>
      <c r="M99" s="132"/>
      <c r="N99" s="132"/>
      <c r="O99" s="132"/>
      <c r="P99" s="132"/>
      <c r="Q99" s="137">
        <f>SUM(Q96:Q98)</f>
        <v>41603.418119999995</v>
      </c>
    </row>
    <row r="100" spans="1:17" ht="26.25" customHeight="1">
      <c r="A100" s="59"/>
      <c r="B100" s="170" t="s">
        <v>52</v>
      </c>
      <c r="C100" s="92" t="s">
        <v>96</v>
      </c>
      <c r="D100" s="160" t="s">
        <v>17</v>
      </c>
      <c r="E100" s="47">
        <f>I100+J100</f>
        <v>27543.601</v>
      </c>
      <c r="F100" s="35"/>
      <c r="G100" s="35"/>
      <c r="H100" s="35"/>
      <c r="I100" s="46"/>
      <c r="J100" s="76">
        <v>27543.601</v>
      </c>
      <c r="K100" s="114">
        <v>2.027</v>
      </c>
      <c r="L100" s="47">
        <f t="shared" si="4"/>
        <v>27543.60093</v>
      </c>
      <c r="M100" s="130"/>
      <c r="N100" s="130"/>
      <c r="O100" s="130"/>
      <c r="P100" s="130"/>
      <c r="Q100" s="130">
        <v>27543.60093</v>
      </c>
    </row>
    <row r="101" spans="1:17" ht="26.25" customHeight="1">
      <c r="A101" s="59"/>
      <c r="B101" s="170"/>
      <c r="C101" s="92" t="s">
        <v>129</v>
      </c>
      <c r="D101" s="166"/>
      <c r="E101" s="47">
        <f aca="true" t="shared" si="5" ref="E101:E108">I101+J101</f>
        <v>2470.371</v>
      </c>
      <c r="F101" s="35"/>
      <c r="G101" s="35"/>
      <c r="H101" s="35"/>
      <c r="I101" s="46"/>
      <c r="J101" s="76">
        <v>2470.371</v>
      </c>
      <c r="K101" s="114">
        <v>0.183</v>
      </c>
      <c r="L101" s="47">
        <f t="shared" si="4"/>
        <v>2470.37095</v>
      </c>
      <c r="M101" s="130"/>
      <c r="N101" s="130"/>
      <c r="O101" s="130"/>
      <c r="P101" s="130"/>
      <c r="Q101" s="130">
        <v>2470.37095</v>
      </c>
    </row>
    <row r="102" spans="1:17" ht="21.75" customHeight="1">
      <c r="A102" s="59"/>
      <c r="B102" s="170"/>
      <c r="C102" s="92" t="s">
        <v>97</v>
      </c>
      <c r="D102" s="160" t="s">
        <v>126</v>
      </c>
      <c r="E102" s="47">
        <f t="shared" si="5"/>
        <v>44925.085</v>
      </c>
      <c r="F102" s="35"/>
      <c r="G102" s="35"/>
      <c r="H102" s="35"/>
      <c r="I102" s="46"/>
      <c r="J102" s="76">
        <v>44925.085</v>
      </c>
      <c r="K102" s="114"/>
      <c r="L102" s="47">
        <f t="shared" si="4"/>
        <v>0</v>
      </c>
      <c r="M102" s="130"/>
      <c r="N102" s="130"/>
      <c r="O102" s="130"/>
      <c r="P102" s="130"/>
      <c r="Q102" s="130"/>
    </row>
    <row r="103" spans="1:17" ht="33" customHeight="1">
      <c r="A103" s="59"/>
      <c r="B103" s="170"/>
      <c r="C103" s="92" t="s">
        <v>130</v>
      </c>
      <c r="D103" s="165"/>
      <c r="E103" s="47">
        <f t="shared" si="5"/>
        <v>67735.711</v>
      </c>
      <c r="F103" s="35"/>
      <c r="G103" s="35"/>
      <c r="H103" s="35"/>
      <c r="I103" s="46"/>
      <c r="J103" s="76">
        <v>67735.711</v>
      </c>
      <c r="K103" s="114"/>
      <c r="L103" s="47">
        <f t="shared" si="4"/>
        <v>0</v>
      </c>
      <c r="M103" s="130"/>
      <c r="N103" s="130"/>
      <c r="O103" s="130"/>
      <c r="P103" s="130"/>
      <c r="Q103" s="130"/>
    </row>
    <row r="104" spans="1:17" ht="21" customHeight="1">
      <c r="A104" s="59"/>
      <c r="B104" s="170"/>
      <c r="C104" s="92" t="s">
        <v>131</v>
      </c>
      <c r="D104" s="167" t="s">
        <v>125</v>
      </c>
      <c r="E104" s="47">
        <f t="shared" si="5"/>
        <v>22069.752</v>
      </c>
      <c r="F104" s="35"/>
      <c r="G104" s="35"/>
      <c r="H104" s="35"/>
      <c r="I104" s="46"/>
      <c r="J104" s="76">
        <v>22069.752</v>
      </c>
      <c r="K104" s="114">
        <v>2.3</v>
      </c>
      <c r="L104" s="47">
        <f t="shared" si="4"/>
        <v>22067.15081</v>
      </c>
      <c r="M104" s="130"/>
      <c r="N104" s="130"/>
      <c r="O104" s="130"/>
      <c r="P104" s="130"/>
      <c r="Q104" s="130">
        <v>22067.15081</v>
      </c>
    </row>
    <row r="105" spans="1:17" ht="21" customHeight="1">
      <c r="A105" s="59"/>
      <c r="B105" s="170"/>
      <c r="C105" s="94" t="s">
        <v>99</v>
      </c>
      <c r="D105" s="197"/>
      <c r="E105" s="47">
        <f t="shared" si="5"/>
        <v>45685.539</v>
      </c>
      <c r="F105" s="35"/>
      <c r="G105" s="35"/>
      <c r="H105" s="35"/>
      <c r="I105" s="46"/>
      <c r="J105" s="76">
        <v>45685.539</v>
      </c>
      <c r="K105" s="114">
        <v>4.78</v>
      </c>
      <c r="L105" s="47">
        <f t="shared" si="4"/>
        <v>44021.81563</v>
      </c>
      <c r="M105" s="130"/>
      <c r="N105" s="130"/>
      <c r="O105" s="130"/>
      <c r="P105" s="130"/>
      <c r="Q105" s="130">
        <v>44021.81563</v>
      </c>
    </row>
    <row r="106" spans="1:17" ht="27" customHeight="1">
      <c r="A106" s="59"/>
      <c r="B106" s="170"/>
      <c r="C106" s="94" t="s">
        <v>98</v>
      </c>
      <c r="D106" s="99" t="s">
        <v>16</v>
      </c>
      <c r="E106" s="47">
        <f t="shared" si="5"/>
        <v>83648.128</v>
      </c>
      <c r="F106" s="35"/>
      <c r="G106" s="35"/>
      <c r="H106" s="35"/>
      <c r="I106" s="46"/>
      <c r="J106" s="76">
        <v>83648.128</v>
      </c>
      <c r="K106" s="114"/>
      <c r="L106" s="47"/>
      <c r="M106" s="130"/>
      <c r="N106" s="130"/>
      <c r="O106" s="130"/>
      <c r="P106" s="130"/>
      <c r="Q106" s="130"/>
    </row>
    <row r="107" spans="1:17" ht="31.5" customHeight="1">
      <c r="A107" s="59"/>
      <c r="B107" s="170"/>
      <c r="C107" s="92" t="s">
        <v>132</v>
      </c>
      <c r="D107" s="93" t="s">
        <v>134</v>
      </c>
      <c r="E107" s="47">
        <f t="shared" si="5"/>
        <v>2336.713</v>
      </c>
      <c r="F107" s="35"/>
      <c r="G107" s="35"/>
      <c r="H107" s="35"/>
      <c r="I107" s="46"/>
      <c r="J107" s="76">
        <v>2336.713</v>
      </c>
      <c r="K107" s="114"/>
      <c r="L107" s="47"/>
      <c r="M107" s="130"/>
      <c r="N107" s="130"/>
      <c r="O107" s="130"/>
      <c r="P107" s="130"/>
      <c r="Q107" s="130"/>
    </row>
    <row r="108" spans="1:17" ht="30.75" customHeight="1">
      <c r="A108" s="59"/>
      <c r="B108" s="170"/>
      <c r="C108" s="92" t="s">
        <v>133</v>
      </c>
      <c r="D108" s="93" t="s">
        <v>135</v>
      </c>
      <c r="E108" s="47">
        <f t="shared" si="5"/>
        <v>2125.683</v>
      </c>
      <c r="F108" s="35"/>
      <c r="G108" s="35"/>
      <c r="H108" s="35"/>
      <c r="I108" s="46"/>
      <c r="J108" s="76">
        <v>2125.683</v>
      </c>
      <c r="K108" s="114" t="s">
        <v>144</v>
      </c>
      <c r="L108" s="47">
        <f t="shared" si="4"/>
        <v>2125.6834</v>
      </c>
      <c r="M108" s="130"/>
      <c r="N108" s="130"/>
      <c r="O108" s="130"/>
      <c r="P108" s="130"/>
      <c r="Q108" s="130">
        <v>2125.6834</v>
      </c>
    </row>
    <row r="109" spans="1:17" ht="26.25" customHeight="1">
      <c r="A109" s="59"/>
      <c r="B109" s="60"/>
      <c r="C109" s="35" t="s">
        <v>13</v>
      </c>
      <c r="D109" s="77"/>
      <c r="E109" s="46">
        <f>SUM(E100:E108)</f>
        <v>298540.583</v>
      </c>
      <c r="F109" s="35"/>
      <c r="G109" s="35"/>
      <c r="H109" s="35"/>
      <c r="I109" s="46"/>
      <c r="J109" s="78">
        <f>SUM(J100:J108)</f>
        <v>298540.583</v>
      </c>
      <c r="K109" s="112" t="s">
        <v>176</v>
      </c>
      <c r="L109" s="46">
        <f t="shared" si="4"/>
        <v>98228.62172</v>
      </c>
      <c r="M109" s="130"/>
      <c r="N109" s="130"/>
      <c r="O109" s="130"/>
      <c r="P109" s="130"/>
      <c r="Q109" s="135">
        <f>SUM(Q100:Q108)</f>
        <v>98228.62172</v>
      </c>
    </row>
    <row r="110" spans="1:17" ht="26.25" customHeight="1">
      <c r="A110" s="59"/>
      <c r="B110" s="185" t="s">
        <v>53</v>
      </c>
      <c r="C110" s="92" t="s">
        <v>100</v>
      </c>
      <c r="D110" s="160" t="s">
        <v>136</v>
      </c>
      <c r="E110" s="47">
        <f>I110+J110</f>
        <v>63216.881</v>
      </c>
      <c r="F110" s="35"/>
      <c r="G110" s="35"/>
      <c r="H110" s="35"/>
      <c r="I110" s="46"/>
      <c r="J110" s="76">
        <v>63216.881</v>
      </c>
      <c r="K110" s="114">
        <v>4.64</v>
      </c>
      <c r="L110" s="47">
        <f t="shared" si="4"/>
        <v>60192.65314</v>
      </c>
      <c r="M110" s="130"/>
      <c r="N110" s="130"/>
      <c r="O110" s="130"/>
      <c r="P110" s="130"/>
      <c r="Q110" s="130">
        <v>60192.65314</v>
      </c>
    </row>
    <row r="111" spans="1:17" ht="26.25" customHeight="1">
      <c r="A111" s="59"/>
      <c r="B111" s="185"/>
      <c r="C111" s="92" t="s">
        <v>101</v>
      </c>
      <c r="D111" s="165"/>
      <c r="E111" s="47">
        <f>I111+J111</f>
        <v>1478.944</v>
      </c>
      <c r="F111" s="35"/>
      <c r="G111" s="35"/>
      <c r="H111" s="35"/>
      <c r="I111" s="46"/>
      <c r="J111" s="76">
        <v>1478.944</v>
      </c>
      <c r="K111" s="114">
        <v>0.215</v>
      </c>
      <c r="L111" s="47">
        <f t="shared" si="4"/>
        <v>1213.6418</v>
      </c>
      <c r="M111" s="130"/>
      <c r="N111" s="130"/>
      <c r="O111" s="130"/>
      <c r="P111" s="130"/>
      <c r="Q111" s="130">
        <v>1213.6418</v>
      </c>
    </row>
    <row r="112" spans="1:17" ht="26.25" customHeight="1">
      <c r="A112" s="59"/>
      <c r="B112" s="185"/>
      <c r="C112" s="92" t="s">
        <v>102</v>
      </c>
      <c r="D112" s="166"/>
      <c r="E112" s="47">
        <f>I112+J112</f>
        <v>7500</v>
      </c>
      <c r="F112" s="35"/>
      <c r="G112" s="35"/>
      <c r="H112" s="35"/>
      <c r="I112" s="46"/>
      <c r="J112" s="76">
        <v>7500</v>
      </c>
      <c r="K112" s="114">
        <v>1.048</v>
      </c>
      <c r="L112" s="47">
        <f t="shared" si="4"/>
        <v>7482.67618</v>
      </c>
      <c r="M112" s="130"/>
      <c r="N112" s="130"/>
      <c r="O112" s="130"/>
      <c r="P112" s="130"/>
      <c r="Q112" s="130">
        <v>7482.67618</v>
      </c>
    </row>
    <row r="113" spans="1:17" ht="26.25" customHeight="1">
      <c r="A113" s="59"/>
      <c r="B113" s="62"/>
      <c r="C113" s="35" t="s">
        <v>13</v>
      </c>
      <c r="D113" s="95"/>
      <c r="E113" s="46">
        <f>SUM(E110:E112)</f>
        <v>72195.82500000001</v>
      </c>
      <c r="F113" s="35"/>
      <c r="G113" s="35"/>
      <c r="H113" s="35"/>
      <c r="I113" s="46"/>
      <c r="J113" s="78">
        <f>SUM(J110:J112)</f>
        <v>72195.82500000001</v>
      </c>
      <c r="K113" s="112">
        <f>SUM(K110:K112)</f>
        <v>5.903</v>
      </c>
      <c r="L113" s="46">
        <f t="shared" si="4"/>
        <v>68888.97112</v>
      </c>
      <c r="M113" s="130"/>
      <c r="N113" s="130"/>
      <c r="O113" s="130"/>
      <c r="P113" s="130"/>
      <c r="Q113" s="135">
        <f>SUM(Q110:Q112)</f>
        <v>68888.97112</v>
      </c>
    </row>
    <row r="114" spans="1:17" ht="33" customHeight="1">
      <c r="A114" s="59"/>
      <c r="B114" s="61" t="s">
        <v>49</v>
      </c>
      <c r="C114" s="104" t="s">
        <v>103</v>
      </c>
      <c r="D114" s="97" t="s">
        <v>17</v>
      </c>
      <c r="E114" s="47">
        <f>I114+J114</f>
        <v>70371.064</v>
      </c>
      <c r="F114" s="67"/>
      <c r="G114" s="67"/>
      <c r="H114" s="67"/>
      <c r="I114" s="68"/>
      <c r="J114" s="105">
        <v>70371.064</v>
      </c>
      <c r="K114" s="115"/>
      <c r="L114" s="47">
        <f t="shared" si="4"/>
        <v>70371.1</v>
      </c>
      <c r="M114" s="131"/>
      <c r="N114" s="131"/>
      <c r="O114" s="131"/>
      <c r="P114" s="131"/>
      <c r="Q114" s="131">
        <v>70371.1</v>
      </c>
    </row>
    <row r="115" spans="1:17" ht="26.25" customHeight="1">
      <c r="A115" s="59"/>
      <c r="B115" s="74"/>
      <c r="C115" s="49" t="s">
        <v>13</v>
      </c>
      <c r="D115" s="106"/>
      <c r="E115" s="46">
        <f>E114</f>
        <v>70371.064</v>
      </c>
      <c r="F115" s="49"/>
      <c r="G115" s="49"/>
      <c r="H115" s="49"/>
      <c r="I115" s="46"/>
      <c r="J115" s="78">
        <f>J114</f>
        <v>70371.064</v>
      </c>
      <c r="K115" s="114"/>
      <c r="L115" s="46">
        <f t="shared" si="4"/>
        <v>70371.1</v>
      </c>
      <c r="M115" s="130"/>
      <c r="N115" s="130"/>
      <c r="O115" s="130"/>
      <c r="P115" s="130"/>
      <c r="Q115" s="135">
        <f>Q114</f>
        <v>70371.1</v>
      </c>
    </row>
    <row r="116" spans="1:17" ht="18" customHeight="1">
      <c r="A116" s="59"/>
      <c r="B116" s="169" t="s">
        <v>54</v>
      </c>
      <c r="C116" s="108" t="s">
        <v>104</v>
      </c>
      <c r="D116" s="167" t="s">
        <v>126</v>
      </c>
      <c r="E116" s="47">
        <f>I116+J116</f>
        <v>19183.831</v>
      </c>
      <c r="F116" s="49"/>
      <c r="G116" s="49"/>
      <c r="H116" s="49"/>
      <c r="I116" s="46"/>
      <c r="J116" s="76">
        <v>19183.831</v>
      </c>
      <c r="K116" s="114">
        <v>1.2</v>
      </c>
      <c r="L116" s="47">
        <f t="shared" si="4"/>
        <v>19183.83091</v>
      </c>
      <c r="M116" s="130"/>
      <c r="N116" s="130"/>
      <c r="O116" s="130"/>
      <c r="P116" s="130"/>
      <c r="Q116" s="130">
        <v>19183.83091</v>
      </c>
    </row>
    <row r="117" spans="1:17" ht="18" customHeight="1">
      <c r="A117" s="59"/>
      <c r="B117" s="169"/>
      <c r="C117" s="108" t="s">
        <v>105</v>
      </c>
      <c r="D117" s="168"/>
      <c r="E117" s="47">
        <f>I117+J117</f>
        <v>41850.08</v>
      </c>
      <c r="F117" s="49"/>
      <c r="G117" s="49"/>
      <c r="H117" s="49"/>
      <c r="I117" s="46"/>
      <c r="J117" s="76">
        <v>41850.08</v>
      </c>
      <c r="K117" s="114">
        <v>2.7</v>
      </c>
      <c r="L117" s="47">
        <f t="shared" si="4"/>
        <v>41850.08039</v>
      </c>
      <c r="M117" s="130"/>
      <c r="N117" s="130"/>
      <c r="O117" s="130"/>
      <c r="P117" s="130"/>
      <c r="Q117" s="130">
        <v>41850.08039</v>
      </c>
    </row>
    <row r="118" spans="1:17" ht="18" customHeight="1">
      <c r="A118" s="59"/>
      <c r="B118" s="169"/>
      <c r="C118" s="108" t="s">
        <v>106</v>
      </c>
      <c r="D118" s="168"/>
      <c r="E118" s="47">
        <f>I118+J118</f>
        <v>33208.075</v>
      </c>
      <c r="F118" s="49"/>
      <c r="G118" s="49"/>
      <c r="H118" s="49"/>
      <c r="I118" s="46"/>
      <c r="J118" s="76">
        <v>33208.075</v>
      </c>
      <c r="K118" s="114">
        <v>2.5</v>
      </c>
      <c r="L118" s="47">
        <f t="shared" si="4"/>
        <v>32581.77936</v>
      </c>
      <c r="M118" s="130"/>
      <c r="N118" s="130"/>
      <c r="O118" s="130"/>
      <c r="P118" s="130"/>
      <c r="Q118" s="130">
        <v>32581.77936</v>
      </c>
    </row>
    <row r="119" spans="1:17" ht="16.5" customHeight="1">
      <c r="A119" s="59"/>
      <c r="B119" s="169"/>
      <c r="C119" s="109" t="s">
        <v>107</v>
      </c>
      <c r="D119" s="168"/>
      <c r="E119" s="47">
        <f>I119+J119</f>
        <v>5134.698</v>
      </c>
      <c r="F119" s="49"/>
      <c r="G119" s="49"/>
      <c r="H119" s="49"/>
      <c r="I119" s="46"/>
      <c r="J119" s="76">
        <v>5134.698</v>
      </c>
      <c r="K119" s="114">
        <v>0.66</v>
      </c>
      <c r="L119" s="47">
        <f t="shared" si="4"/>
        <v>5134.69797</v>
      </c>
      <c r="M119" s="130"/>
      <c r="N119" s="130"/>
      <c r="O119" s="130"/>
      <c r="P119" s="130"/>
      <c r="Q119" s="130">
        <v>5134.69797</v>
      </c>
    </row>
    <row r="120" spans="1:17" ht="20.25" customHeight="1">
      <c r="A120" s="59"/>
      <c r="B120" s="73"/>
      <c r="C120" s="49" t="s">
        <v>13</v>
      </c>
      <c r="D120" s="107"/>
      <c r="E120" s="46">
        <f>SUM(E116:E119)</f>
        <v>99376.68400000001</v>
      </c>
      <c r="F120" s="49"/>
      <c r="G120" s="49"/>
      <c r="H120" s="49"/>
      <c r="I120" s="46"/>
      <c r="J120" s="78">
        <f>SUM(J116:J119)</f>
        <v>99376.68400000001</v>
      </c>
      <c r="K120" s="112">
        <f>SUM(K116:K119)</f>
        <v>7.0600000000000005</v>
      </c>
      <c r="L120" s="46">
        <f t="shared" si="4"/>
        <v>98750.38863</v>
      </c>
      <c r="M120" s="130"/>
      <c r="N120" s="130"/>
      <c r="O120" s="130"/>
      <c r="P120" s="130"/>
      <c r="Q120" s="135">
        <f>SUM(Q116:Q119)</f>
        <v>98750.38863</v>
      </c>
    </row>
    <row r="121" spans="1:17" ht="33" customHeight="1">
      <c r="A121" s="59"/>
      <c r="B121" s="169" t="s">
        <v>45</v>
      </c>
      <c r="C121" s="108" t="s">
        <v>108</v>
      </c>
      <c r="D121" s="102" t="s">
        <v>125</v>
      </c>
      <c r="E121" s="47">
        <f aca="true" t="shared" si="6" ref="E121:E126">I121+J121</f>
        <v>128407.661</v>
      </c>
      <c r="F121" s="49"/>
      <c r="G121" s="49"/>
      <c r="H121" s="49"/>
      <c r="I121" s="46"/>
      <c r="J121" s="76">
        <v>128407.661</v>
      </c>
      <c r="K121" s="114">
        <v>7.83</v>
      </c>
      <c r="L121" s="47">
        <f t="shared" si="4"/>
        <v>128407.66144</v>
      </c>
      <c r="M121" s="130"/>
      <c r="N121" s="130"/>
      <c r="O121" s="130"/>
      <c r="P121" s="130"/>
      <c r="Q121" s="130">
        <v>128407.66144</v>
      </c>
    </row>
    <row r="122" spans="1:17" ht="26.25" customHeight="1">
      <c r="A122" s="59"/>
      <c r="B122" s="169"/>
      <c r="C122" s="108" t="s">
        <v>109</v>
      </c>
      <c r="D122" s="167" t="s">
        <v>137</v>
      </c>
      <c r="E122" s="47">
        <f t="shared" si="6"/>
        <v>3830.566</v>
      </c>
      <c r="F122" s="49"/>
      <c r="G122" s="49"/>
      <c r="H122" s="49"/>
      <c r="I122" s="46"/>
      <c r="J122" s="76">
        <v>3830.566</v>
      </c>
      <c r="K122" s="114">
        <v>0.815</v>
      </c>
      <c r="L122" s="47">
        <f t="shared" si="4"/>
        <v>3762.95392</v>
      </c>
      <c r="M122" s="130"/>
      <c r="N122" s="130"/>
      <c r="O122" s="130"/>
      <c r="P122" s="130"/>
      <c r="Q122" s="130">
        <v>3762.95392</v>
      </c>
    </row>
    <row r="123" spans="1:17" ht="18" customHeight="1">
      <c r="A123" s="59"/>
      <c r="B123" s="169"/>
      <c r="C123" s="108" t="s">
        <v>110</v>
      </c>
      <c r="D123" s="168"/>
      <c r="E123" s="47">
        <f t="shared" si="6"/>
        <v>25672.17</v>
      </c>
      <c r="F123" s="49"/>
      <c r="G123" s="49"/>
      <c r="H123" s="49"/>
      <c r="I123" s="46"/>
      <c r="J123" s="76">
        <v>25672.17</v>
      </c>
      <c r="K123" s="114">
        <v>4.012</v>
      </c>
      <c r="L123" s="47">
        <f t="shared" si="4"/>
        <v>16970.75292</v>
      </c>
      <c r="M123" s="130"/>
      <c r="N123" s="130"/>
      <c r="O123" s="130"/>
      <c r="P123" s="130"/>
      <c r="Q123" s="130">
        <v>16970.75292</v>
      </c>
    </row>
    <row r="124" spans="1:17" ht="13.5" customHeight="1">
      <c r="A124" s="59"/>
      <c r="B124" s="169"/>
      <c r="C124" s="108" t="s">
        <v>111</v>
      </c>
      <c r="D124" s="168"/>
      <c r="E124" s="47">
        <f t="shared" si="6"/>
        <v>10585.927</v>
      </c>
      <c r="F124" s="49"/>
      <c r="G124" s="49"/>
      <c r="H124" s="49"/>
      <c r="I124" s="46"/>
      <c r="J124" s="76">
        <v>10585.927</v>
      </c>
      <c r="K124" s="114">
        <v>2.6</v>
      </c>
      <c r="L124" s="47">
        <f t="shared" si="4"/>
        <v>10585.603</v>
      </c>
      <c r="M124" s="130"/>
      <c r="N124" s="130"/>
      <c r="O124" s="130"/>
      <c r="P124" s="130"/>
      <c r="Q124" s="130">
        <v>10585.603</v>
      </c>
    </row>
    <row r="125" spans="1:17" ht="15" customHeight="1">
      <c r="A125" s="59"/>
      <c r="B125" s="169"/>
      <c r="C125" s="108" t="s">
        <v>112</v>
      </c>
      <c r="D125" s="168"/>
      <c r="E125" s="47">
        <f t="shared" si="6"/>
        <v>2343.215</v>
      </c>
      <c r="F125" s="49"/>
      <c r="G125" s="49"/>
      <c r="H125" s="49"/>
      <c r="I125" s="46"/>
      <c r="J125" s="76">
        <v>2343.215</v>
      </c>
      <c r="K125" s="114">
        <v>0.61</v>
      </c>
      <c r="L125" s="47">
        <f t="shared" si="4"/>
        <v>2343.2145</v>
      </c>
      <c r="M125" s="130"/>
      <c r="N125" s="130"/>
      <c r="O125" s="130"/>
      <c r="P125" s="130"/>
      <c r="Q125" s="130">
        <v>2343.2145</v>
      </c>
    </row>
    <row r="126" spans="1:17" ht="16.5" customHeight="1">
      <c r="A126" s="59"/>
      <c r="B126" s="169"/>
      <c r="C126" s="108" t="s">
        <v>113</v>
      </c>
      <c r="D126" s="168"/>
      <c r="E126" s="47">
        <f t="shared" si="6"/>
        <v>17241.646</v>
      </c>
      <c r="F126" s="49"/>
      <c r="G126" s="49"/>
      <c r="H126" s="49"/>
      <c r="I126" s="46"/>
      <c r="J126" s="76">
        <v>17241.646</v>
      </c>
      <c r="K126" s="114">
        <v>3.22</v>
      </c>
      <c r="L126" s="47">
        <f t="shared" si="4"/>
        <v>13297.95572</v>
      </c>
      <c r="M126" s="130"/>
      <c r="N126" s="130"/>
      <c r="O126" s="130"/>
      <c r="P126" s="130"/>
      <c r="Q126" s="130">
        <v>13297.95572</v>
      </c>
    </row>
    <row r="127" spans="1:17" ht="26.25" customHeight="1">
      <c r="A127" s="59"/>
      <c r="B127" s="74"/>
      <c r="C127" s="49" t="s">
        <v>13</v>
      </c>
      <c r="D127" s="106"/>
      <c r="E127" s="46">
        <f>SUM(E121:E126)</f>
        <v>188081.185</v>
      </c>
      <c r="F127" s="49"/>
      <c r="G127" s="49"/>
      <c r="H127" s="49"/>
      <c r="I127" s="46"/>
      <c r="J127" s="78">
        <f>SUM(J121:J126)</f>
        <v>188081.185</v>
      </c>
      <c r="K127" s="112">
        <f>SUM(K121:K126)</f>
        <v>19.087</v>
      </c>
      <c r="L127" s="46">
        <f t="shared" si="4"/>
        <v>175368.1415</v>
      </c>
      <c r="M127" s="130"/>
      <c r="N127" s="130"/>
      <c r="O127" s="130"/>
      <c r="P127" s="130"/>
      <c r="Q127" s="135">
        <f>SUM(Q121:Q126)</f>
        <v>175368.1415</v>
      </c>
    </row>
    <row r="128" spans="1:17" ht="31.5" customHeight="1">
      <c r="A128" s="59"/>
      <c r="B128" s="63" t="s">
        <v>44</v>
      </c>
      <c r="C128" s="75" t="s">
        <v>114</v>
      </c>
      <c r="D128" s="93" t="s">
        <v>127</v>
      </c>
      <c r="E128" s="47">
        <f>I128+J128</f>
        <v>117898.424</v>
      </c>
      <c r="F128" s="35"/>
      <c r="G128" s="35"/>
      <c r="H128" s="35"/>
      <c r="I128" s="46"/>
      <c r="J128" s="76">
        <v>117898.424</v>
      </c>
      <c r="K128" s="114">
        <v>7.6</v>
      </c>
      <c r="L128" s="47">
        <f t="shared" si="4"/>
        <v>117898.42417</v>
      </c>
      <c r="M128" s="130"/>
      <c r="N128" s="130"/>
      <c r="O128" s="130"/>
      <c r="P128" s="130"/>
      <c r="Q128" s="130">
        <v>117898.42417</v>
      </c>
    </row>
    <row r="129" spans="1:17" ht="19.5" customHeight="1">
      <c r="A129" s="59"/>
      <c r="B129" s="60"/>
      <c r="C129" s="35" t="s">
        <v>13</v>
      </c>
      <c r="D129" s="95"/>
      <c r="E129" s="46">
        <f>E128</f>
        <v>117898.424</v>
      </c>
      <c r="F129" s="35"/>
      <c r="G129" s="35"/>
      <c r="H129" s="35"/>
      <c r="I129" s="46"/>
      <c r="J129" s="78">
        <f>J128</f>
        <v>117898.424</v>
      </c>
      <c r="K129" s="112">
        <f>K128</f>
        <v>7.6</v>
      </c>
      <c r="L129" s="46">
        <f t="shared" si="4"/>
        <v>117898.42417</v>
      </c>
      <c r="M129" s="130"/>
      <c r="N129" s="130"/>
      <c r="O129" s="130"/>
      <c r="P129" s="130"/>
      <c r="Q129" s="135">
        <f>Q128</f>
        <v>117898.42417</v>
      </c>
    </row>
    <row r="130" spans="1:17" ht="32.25" customHeight="1">
      <c r="A130" s="59"/>
      <c r="B130" s="63" t="s">
        <v>43</v>
      </c>
      <c r="C130" s="98" t="s">
        <v>115</v>
      </c>
      <c r="D130" s="93" t="s">
        <v>138</v>
      </c>
      <c r="E130" s="47">
        <f>I130+J130</f>
        <v>32368.937</v>
      </c>
      <c r="F130" s="35"/>
      <c r="G130" s="35"/>
      <c r="H130" s="35"/>
      <c r="I130" s="46"/>
      <c r="J130" s="76">
        <v>32368.937</v>
      </c>
      <c r="K130" s="114">
        <v>3</v>
      </c>
      <c r="L130" s="47">
        <f t="shared" si="4"/>
        <v>30421.12535</v>
      </c>
      <c r="M130" s="130"/>
      <c r="N130" s="130"/>
      <c r="O130" s="130"/>
      <c r="P130" s="130"/>
      <c r="Q130" s="130">
        <v>30421.12535</v>
      </c>
    </row>
    <row r="131" spans="1:17" ht="24" customHeight="1">
      <c r="A131" s="59"/>
      <c r="B131" s="62"/>
      <c r="C131" s="35" t="s">
        <v>13</v>
      </c>
      <c r="D131" s="95"/>
      <c r="E131" s="46">
        <f>E130</f>
        <v>32368.937</v>
      </c>
      <c r="F131" s="35"/>
      <c r="G131" s="35"/>
      <c r="H131" s="35"/>
      <c r="I131" s="46"/>
      <c r="J131" s="78">
        <f>J130</f>
        <v>32368.937</v>
      </c>
      <c r="K131" s="112">
        <f>K130</f>
        <v>3</v>
      </c>
      <c r="L131" s="46">
        <f t="shared" si="4"/>
        <v>30421.12535</v>
      </c>
      <c r="M131" s="130"/>
      <c r="N131" s="130"/>
      <c r="O131" s="130"/>
      <c r="P131" s="130"/>
      <c r="Q131" s="135">
        <f>SUM(Q130)</f>
        <v>30421.12535</v>
      </c>
    </row>
    <row r="132" spans="1:17" ht="27" customHeight="1">
      <c r="A132" s="59"/>
      <c r="B132" s="202" t="s">
        <v>55</v>
      </c>
      <c r="C132" s="79" t="s">
        <v>116</v>
      </c>
      <c r="D132" s="160" t="s">
        <v>138</v>
      </c>
      <c r="E132" s="47">
        <f>I132+J132</f>
        <v>71120.542</v>
      </c>
      <c r="F132" s="35"/>
      <c r="G132" s="35"/>
      <c r="H132" s="35"/>
      <c r="I132" s="46"/>
      <c r="J132" s="76">
        <v>71120.542</v>
      </c>
      <c r="K132" s="114">
        <v>6.762</v>
      </c>
      <c r="L132" s="47">
        <f t="shared" si="4"/>
        <v>69892.30309</v>
      </c>
      <c r="M132" s="130"/>
      <c r="N132" s="130"/>
      <c r="O132" s="130"/>
      <c r="P132" s="130"/>
      <c r="Q132" s="130">
        <v>69892.30309</v>
      </c>
    </row>
    <row r="133" spans="1:17" ht="27" customHeight="1">
      <c r="A133" s="59"/>
      <c r="B133" s="208"/>
      <c r="C133" s="79" t="s">
        <v>177</v>
      </c>
      <c r="D133" s="166"/>
      <c r="E133" s="47"/>
      <c r="F133" s="103"/>
      <c r="G133" s="103"/>
      <c r="H133" s="103"/>
      <c r="I133" s="46"/>
      <c r="J133" s="76"/>
      <c r="K133" s="114">
        <v>0.078</v>
      </c>
      <c r="L133" s="47">
        <f t="shared" si="4"/>
        <v>962.69025</v>
      </c>
      <c r="M133" s="130"/>
      <c r="N133" s="130"/>
      <c r="O133" s="130"/>
      <c r="P133" s="130"/>
      <c r="Q133" s="130">
        <v>962.69025</v>
      </c>
    </row>
    <row r="134" spans="1:17" ht="20.25" customHeight="1">
      <c r="A134" s="59"/>
      <c r="B134" s="62"/>
      <c r="C134" s="35" t="s">
        <v>13</v>
      </c>
      <c r="D134" s="95"/>
      <c r="E134" s="46">
        <f>E132</f>
        <v>71120.542</v>
      </c>
      <c r="F134" s="35"/>
      <c r="G134" s="35"/>
      <c r="H134" s="35"/>
      <c r="I134" s="46"/>
      <c r="J134" s="78">
        <f>J132</f>
        <v>71120.542</v>
      </c>
      <c r="K134" s="112">
        <f>K132+K133</f>
        <v>6.84</v>
      </c>
      <c r="L134" s="46">
        <f t="shared" si="4"/>
        <v>70854.99334</v>
      </c>
      <c r="M134" s="130"/>
      <c r="N134" s="130"/>
      <c r="O134" s="130"/>
      <c r="P134" s="130"/>
      <c r="Q134" s="135">
        <f>SUM(Q132:Q133)</f>
        <v>70854.99334</v>
      </c>
    </row>
    <row r="135" spans="1:17" ht="16.5" customHeight="1">
      <c r="A135" s="59"/>
      <c r="B135" s="170" t="s">
        <v>56</v>
      </c>
      <c r="C135" s="92" t="s">
        <v>117</v>
      </c>
      <c r="D135" s="93" t="s">
        <v>17</v>
      </c>
      <c r="E135" s="47">
        <f aca="true" t="shared" si="7" ref="E135:E146">I135+J135</f>
        <v>10344.394</v>
      </c>
      <c r="F135" s="35"/>
      <c r="G135" s="35"/>
      <c r="H135" s="35"/>
      <c r="I135" s="46"/>
      <c r="J135" s="76">
        <v>10344.394</v>
      </c>
      <c r="K135" s="114">
        <v>0.75</v>
      </c>
      <c r="L135" s="47">
        <f t="shared" si="4"/>
        <v>10344.3935</v>
      </c>
      <c r="M135" s="130"/>
      <c r="N135" s="130"/>
      <c r="O135" s="130"/>
      <c r="P135" s="130"/>
      <c r="Q135" s="130">
        <v>10344.3935</v>
      </c>
    </row>
    <row r="136" spans="1:17" ht="30.75" customHeight="1">
      <c r="A136" s="59"/>
      <c r="B136" s="170"/>
      <c r="C136" s="92" t="s">
        <v>139</v>
      </c>
      <c r="D136" s="160" t="s">
        <v>135</v>
      </c>
      <c r="E136" s="47">
        <f t="shared" si="7"/>
        <v>9835.927</v>
      </c>
      <c r="F136" s="35"/>
      <c r="G136" s="35"/>
      <c r="H136" s="35"/>
      <c r="I136" s="46"/>
      <c r="J136" s="76">
        <v>9835.927</v>
      </c>
      <c r="K136" s="114"/>
      <c r="L136" s="47">
        <f t="shared" si="4"/>
        <v>4037.39714</v>
      </c>
      <c r="M136" s="130"/>
      <c r="N136" s="130"/>
      <c r="O136" s="130"/>
      <c r="P136" s="130"/>
      <c r="Q136" s="130">
        <v>4037.39714</v>
      </c>
    </row>
    <row r="137" spans="1:17" ht="27.75" customHeight="1">
      <c r="A137" s="59"/>
      <c r="B137" s="170"/>
      <c r="C137" s="92" t="s">
        <v>140</v>
      </c>
      <c r="D137" s="166"/>
      <c r="E137" s="47">
        <f t="shared" si="7"/>
        <v>5249.55</v>
      </c>
      <c r="F137" s="35"/>
      <c r="G137" s="35"/>
      <c r="H137" s="35"/>
      <c r="I137" s="46"/>
      <c r="J137" s="76">
        <v>5249.55</v>
      </c>
      <c r="K137" s="114"/>
      <c r="L137" s="47">
        <f t="shared" si="4"/>
        <v>2309.3249</v>
      </c>
      <c r="M137" s="130"/>
      <c r="N137" s="130"/>
      <c r="O137" s="130"/>
      <c r="P137" s="130"/>
      <c r="Q137" s="130">
        <v>2309.3249</v>
      </c>
    </row>
    <row r="138" spans="1:17" ht="32.25" customHeight="1">
      <c r="A138" s="59"/>
      <c r="B138" s="170"/>
      <c r="C138" s="96" t="s">
        <v>141</v>
      </c>
      <c r="D138" s="93" t="s">
        <v>134</v>
      </c>
      <c r="E138" s="47">
        <f t="shared" si="7"/>
        <v>8004.793</v>
      </c>
      <c r="F138" s="35"/>
      <c r="G138" s="35"/>
      <c r="H138" s="35"/>
      <c r="I138" s="46"/>
      <c r="J138" s="76">
        <v>8004.793</v>
      </c>
      <c r="K138" s="114"/>
      <c r="L138" s="47"/>
      <c r="M138" s="130"/>
      <c r="N138" s="130"/>
      <c r="O138" s="130"/>
      <c r="P138" s="130"/>
      <c r="Q138" s="130"/>
    </row>
    <row r="139" spans="1:17" ht="21" customHeight="1">
      <c r="A139" s="59"/>
      <c r="B139" s="62"/>
      <c r="C139" s="35" t="s">
        <v>13</v>
      </c>
      <c r="D139" s="95"/>
      <c r="E139" s="46">
        <f>SUM(E135:E138)</f>
        <v>33434.664</v>
      </c>
      <c r="F139" s="35"/>
      <c r="G139" s="35"/>
      <c r="H139" s="35"/>
      <c r="I139" s="46"/>
      <c r="J139" s="78">
        <f>SUM(J135:J138)</f>
        <v>33434.664</v>
      </c>
      <c r="K139" s="112">
        <f>SUM(K135:K138)</f>
        <v>0.75</v>
      </c>
      <c r="L139" s="46">
        <f t="shared" si="4"/>
        <v>16691.11554</v>
      </c>
      <c r="M139" s="130"/>
      <c r="N139" s="130"/>
      <c r="O139" s="130"/>
      <c r="P139" s="130"/>
      <c r="Q139" s="135">
        <f>SUM(Q135:Q138)</f>
        <v>16691.11554</v>
      </c>
    </row>
    <row r="140" spans="1:17" ht="36.75" customHeight="1">
      <c r="A140" s="59"/>
      <c r="B140" s="203" t="s">
        <v>57</v>
      </c>
      <c r="C140" s="79" t="s">
        <v>118</v>
      </c>
      <c r="D140" s="160" t="s">
        <v>17</v>
      </c>
      <c r="E140" s="47">
        <f t="shared" si="7"/>
        <v>61098.296</v>
      </c>
      <c r="F140" s="35"/>
      <c r="G140" s="35"/>
      <c r="H140" s="35"/>
      <c r="I140" s="46"/>
      <c r="J140" s="76">
        <v>61098.296</v>
      </c>
      <c r="K140" s="114">
        <v>4</v>
      </c>
      <c r="L140" s="47">
        <f t="shared" si="4"/>
        <v>61098.29601</v>
      </c>
      <c r="M140" s="130"/>
      <c r="N140" s="130"/>
      <c r="O140" s="130"/>
      <c r="P140" s="130"/>
      <c r="Q140" s="130">
        <v>61098.29601</v>
      </c>
    </row>
    <row r="141" spans="1:17" ht="32.25" customHeight="1">
      <c r="A141" s="59"/>
      <c r="B141" s="203"/>
      <c r="C141" s="79" t="s">
        <v>119</v>
      </c>
      <c r="D141" s="165"/>
      <c r="E141" s="47">
        <f t="shared" si="7"/>
        <v>250350.853</v>
      </c>
      <c r="F141" s="35"/>
      <c r="G141" s="35"/>
      <c r="H141" s="35"/>
      <c r="I141" s="46"/>
      <c r="J141" s="76">
        <v>250350.853</v>
      </c>
      <c r="K141" s="114">
        <v>16.173</v>
      </c>
      <c r="L141" s="47">
        <f t="shared" si="4"/>
        <v>250350.85274</v>
      </c>
      <c r="M141" s="130"/>
      <c r="N141" s="130"/>
      <c r="O141" s="130"/>
      <c r="P141" s="130"/>
      <c r="Q141" s="130">
        <v>250350.85274</v>
      </c>
    </row>
    <row r="142" spans="1:17" ht="30" customHeight="1">
      <c r="A142" s="59"/>
      <c r="B142" s="64"/>
      <c r="C142" s="79" t="s">
        <v>120</v>
      </c>
      <c r="D142" s="166"/>
      <c r="E142" s="47">
        <f t="shared" si="7"/>
        <v>31762.491</v>
      </c>
      <c r="F142" s="35"/>
      <c r="G142" s="35"/>
      <c r="H142" s="35"/>
      <c r="I142" s="46"/>
      <c r="J142" s="76">
        <v>31762.491</v>
      </c>
      <c r="K142" s="114">
        <v>2.268</v>
      </c>
      <c r="L142" s="47">
        <f t="shared" si="4"/>
        <v>31762.49054</v>
      </c>
      <c r="M142" s="130"/>
      <c r="N142" s="130"/>
      <c r="O142" s="130"/>
      <c r="P142" s="130"/>
      <c r="Q142" s="130">
        <v>31762.49054</v>
      </c>
    </row>
    <row r="143" spans="1:17" ht="19.5" customHeight="1">
      <c r="A143" s="59"/>
      <c r="B143" s="62"/>
      <c r="C143" s="35" t="s">
        <v>13</v>
      </c>
      <c r="D143" s="95"/>
      <c r="E143" s="46">
        <f>SUM(E140:E142)</f>
        <v>343211.63999999996</v>
      </c>
      <c r="F143" s="35"/>
      <c r="G143" s="35"/>
      <c r="H143" s="35"/>
      <c r="I143" s="46"/>
      <c r="J143" s="78">
        <f>SUM(J140:J142)</f>
        <v>343211.63999999996</v>
      </c>
      <c r="K143" s="112">
        <f>SUM(K140:K142)</f>
        <v>22.441</v>
      </c>
      <c r="L143" s="46">
        <f t="shared" si="4"/>
        <v>343211.63928999996</v>
      </c>
      <c r="M143" s="130"/>
      <c r="N143" s="130"/>
      <c r="O143" s="130"/>
      <c r="P143" s="130"/>
      <c r="Q143" s="135">
        <f>SUM(Q140:Q142)</f>
        <v>343211.63928999996</v>
      </c>
    </row>
    <row r="144" spans="1:17" ht="26.25" customHeight="1">
      <c r="A144" s="59"/>
      <c r="B144" s="63" t="s">
        <v>58</v>
      </c>
      <c r="C144" s="92" t="s">
        <v>121</v>
      </c>
      <c r="D144" s="80" t="s">
        <v>126</v>
      </c>
      <c r="E144" s="47">
        <f t="shared" si="7"/>
        <v>7830.763</v>
      </c>
      <c r="F144" s="35"/>
      <c r="G144" s="35"/>
      <c r="H144" s="35"/>
      <c r="I144" s="46"/>
      <c r="J144" s="76">
        <v>7830.763</v>
      </c>
      <c r="K144" s="114">
        <v>0.9</v>
      </c>
      <c r="L144" s="47">
        <f t="shared" si="4"/>
        <v>7830.76328</v>
      </c>
      <c r="M144" s="130"/>
      <c r="N144" s="130"/>
      <c r="O144" s="130"/>
      <c r="P144" s="130"/>
      <c r="Q144" s="130">
        <v>7830.76328</v>
      </c>
    </row>
    <row r="145" spans="1:17" ht="21" customHeight="1">
      <c r="A145" s="59"/>
      <c r="B145" s="62"/>
      <c r="C145" s="35" t="s">
        <v>13</v>
      </c>
      <c r="D145" s="77"/>
      <c r="E145" s="46">
        <f>E144</f>
        <v>7830.763</v>
      </c>
      <c r="F145" s="35"/>
      <c r="G145" s="35"/>
      <c r="H145" s="35"/>
      <c r="I145" s="46"/>
      <c r="J145" s="78">
        <f>J144</f>
        <v>7830.763</v>
      </c>
      <c r="K145" s="112">
        <f>K144</f>
        <v>0.9</v>
      </c>
      <c r="L145" s="46">
        <f t="shared" si="4"/>
        <v>7830.76328</v>
      </c>
      <c r="M145" s="135"/>
      <c r="N145" s="135"/>
      <c r="O145" s="135"/>
      <c r="P145" s="135"/>
      <c r="Q145" s="135">
        <f>SUM(Q144)</f>
        <v>7830.76328</v>
      </c>
    </row>
    <row r="146" spans="1:17" ht="26.25" customHeight="1">
      <c r="A146" s="59"/>
      <c r="B146" s="62" t="s">
        <v>59</v>
      </c>
      <c r="C146" s="92" t="s">
        <v>122</v>
      </c>
      <c r="D146" s="93" t="s">
        <v>136</v>
      </c>
      <c r="E146" s="47">
        <f t="shared" si="7"/>
        <v>60734.57</v>
      </c>
      <c r="F146" s="35"/>
      <c r="G146" s="35"/>
      <c r="H146" s="35"/>
      <c r="I146" s="46"/>
      <c r="J146" s="76">
        <v>60734.57</v>
      </c>
      <c r="K146" s="114">
        <v>4.469</v>
      </c>
      <c r="L146" s="47">
        <f t="shared" si="4"/>
        <v>57540.48868</v>
      </c>
      <c r="M146" s="130"/>
      <c r="N146" s="130"/>
      <c r="O146" s="130"/>
      <c r="P146" s="130"/>
      <c r="Q146" s="130">
        <v>57540.48868</v>
      </c>
    </row>
    <row r="147" spans="2:17" ht="15.75" customHeight="1">
      <c r="B147" s="65"/>
      <c r="C147" s="35" t="s">
        <v>13</v>
      </c>
      <c r="D147" s="77"/>
      <c r="E147" s="46">
        <f>E146</f>
        <v>60734.57</v>
      </c>
      <c r="F147" s="35"/>
      <c r="G147" s="35"/>
      <c r="H147" s="35"/>
      <c r="I147" s="46"/>
      <c r="J147" s="78">
        <f>J146</f>
        <v>60734.57</v>
      </c>
      <c r="K147" s="112">
        <f>K146</f>
        <v>4.469</v>
      </c>
      <c r="L147" s="46">
        <f t="shared" si="4"/>
        <v>57540.48868</v>
      </c>
      <c r="M147" s="130"/>
      <c r="N147" s="130"/>
      <c r="O147" s="130"/>
      <c r="P147" s="130"/>
      <c r="Q147" s="135">
        <f>SUM(Q146)</f>
        <v>57540.48868</v>
      </c>
    </row>
    <row r="148" spans="2:17" ht="15" customHeight="1">
      <c r="B148" s="30"/>
      <c r="C148" s="24" t="s">
        <v>34</v>
      </c>
      <c r="D148" s="31"/>
      <c r="E148" s="26">
        <f>E147+E145+E143+E139+E134+E131+E129+E127+E120+E115+E113+E109+E99+E95+E92+E89</f>
        <v>1740033.6774</v>
      </c>
      <c r="F148" s="26"/>
      <c r="G148" s="32"/>
      <c r="H148" s="32" t="e">
        <f>#REF!+#REF!+#REF!+#REF!+#REF!+#REF!+#REF!+#REF!+#REF!+#REF!+#REF!+#REF!</f>
        <v>#REF!</v>
      </c>
      <c r="I148" s="32"/>
      <c r="J148" s="26">
        <f>J147+J145+J143+J139+J134+J131+J129+J127+J120+J115+J113+J109+J99+J95+J92+J89</f>
        <v>1740033.6774</v>
      </c>
      <c r="K148" s="32" t="s">
        <v>191</v>
      </c>
      <c r="L148" s="46">
        <f t="shared" si="4"/>
        <v>1465573.11332</v>
      </c>
      <c r="M148" s="133"/>
      <c r="N148" s="133"/>
      <c r="O148" s="133"/>
      <c r="P148" s="133"/>
      <c r="Q148" s="26">
        <f>Q147+Q145+Q143+Q139+Q134+Q131+Q129+Q127+Q120+Q115+Q113+Q109+Q99+Q95+Q92+Q89</f>
        <v>1465573.11332</v>
      </c>
    </row>
    <row r="149" spans="2:17" ht="15" customHeight="1">
      <c r="B149" s="172" t="s">
        <v>142</v>
      </c>
      <c r="C149" s="172"/>
      <c r="D149" s="31"/>
      <c r="E149" s="110">
        <f>I149+J149</f>
        <v>1145.438</v>
      </c>
      <c r="F149" s="26"/>
      <c r="G149" s="32"/>
      <c r="H149" s="32"/>
      <c r="I149" s="32"/>
      <c r="J149" s="110">
        <v>1145.438</v>
      </c>
      <c r="K149" s="53"/>
      <c r="L149" s="138">
        <f t="shared" si="4"/>
        <v>798.5591</v>
      </c>
      <c r="M149" s="139"/>
      <c r="N149" s="139"/>
      <c r="O149" s="139"/>
      <c r="P149" s="139"/>
      <c r="Q149" s="139">
        <v>798.5591</v>
      </c>
    </row>
    <row r="150" spans="2:17" ht="15" customHeight="1">
      <c r="B150" s="172" t="s">
        <v>143</v>
      </c>
      <c r="C150" s="172"/>
      <c r="D150" s="31"/>
      <c r="E150" s="110">
        <f>I150+J150</f>
        <v>20865.838</v>
      </c>
      <c r="F150" s="26"/>
      <c r="G150" s="32"/>
      <c r="H150" s="32"/>
      <c r="I150" s="32"/>
      <c r="J150" s="110">
        <v>20865.838</v>
      </c>
      <c r="K150" s="53"/>
      <c r="L150" s="138"/>
      <c r="M150" s="139"/>
      <c r="N150" s="139"/>
      <c r="O150" s="139"/>
      <c r="P150" s="139"/>
      <c r="Q150" s="139"/>
    </row>
    <row r="151" spans="2:17" ht="12.75">
      <c r="B151" s="172" t="s">
        <v>37</v>
      </c>
      <c r="C151" s="172"/>
      <c r="D151" s="12"/>
      <c r="E151" s="110">
        <f>I151+J151</f>
        <v>53553.906</v>
      </c>
      <c r="F151" s="39"/>
      <c r="G151" s="36"/>
      <c r="H151" s="37"/>
      <c r="I151" s="37"/>
      <c r="J151" s="111">
        <v>53553.906</v>
      </c>
      <c r="K151" s="113"/>
      <c r="L151" s="138">
        <f t="shared" si="4"/>
        <v>44501.79561</v>
      </c>
      <c r="M151" s="139">
        <v>1</v>
      </c>
      <c r="N151" s="139"/>
      <c r="O151" s="139"/>
      <c r="P151" s="139"/>
      <c r="Q151" s="139">
        <v>44501.79561</v>
      </c>
    </row>
    <row r="152" spans="2:17" ht="29.25" customHeight="1">
      <c r="B152" s="173" t="s">
        <v>38</v>
      </c>
      <c r="C152" s="173"/>
      <c r="D152" s="173"/>
      <c r="E152" s="26">
        <f>E148+E149+E150+E151</f>
        <v>1815598.8594</v>
      </c>
      <c r="F152" s="26"/>
      <c r="G152" s="26"/>
      <c r="H152" s="26" t="e">
        <f>H148+H151</f>
        <v>#REF!</v>
      </c>
      <c r="I152" s="26"/>
      <c r="J152" s="26">
        <f>J148+J149+J150+J151</f>
        <v>1815598.8594</v>
      </c>
      <c r="K152" s="53"/>
      <c r="L152" s="26">
        <f>L148+L149+L150+L151</f>
        <v>1510873.4680299999</v>
      </c>
      <c r="M152" s="134">
        <f>SUM(M148:M151)</f>
        <v>1</v>
      </c>
      <c r="N152" s="134">
        <f>SUM(N148:N151)</f>
        <v>0</v>
      </c>
      <c r="O152" s="133"/>
      <c r="P152" s="133"/>
      <c r="Q152" s="26">
        <f>Q148+Q149+Q150+Q151</f>
        <v>1510873.4680299999</v>
      </c>
    </row>
    <row r="153" spans="2:17" ht="12.75">
      <c r="B153" s="174" t="s">
        <v>39</v>
      </c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48"/>
      <c r="N153" s="48"/>
      <c r="O153" s="48"/>
      <c r="P153" s="48"/>
      <c r="Q153" s="48"/>
    </row>
    <row r="154" spans="2:17" ht="33.75" customHeight="1">
      <c r="B154" s="172" t="s">
        <v>145</v>
      </c>
      <c r="C154" s="23" t="s">
        <v>146</v>
      </c>
      <c r="D154" s="39" t="s">
        <v>173</v>
      </c>
      <c r="E154" s="25">
        <f>I154+J154</f>
        <v>1468.581</v>
      </c>
      <c r="F154" s="39"/>
      <c r="G154" s="25"/>
      <c r="H154" s="54"/>
      <c r="I154" s="54"/>
      <c r="J154" s="54">
        <v>1468.581</v>
      </c>
      <c r="K154" s="127"/>
      <c r="L154" s="25">
        <f aca="true" t="shared" si="8" ref="L154:L185">Q154+P154</f>
        <v>1468.581</v>
      </c>
      <c r="M154" s="48"/>
      <c r="N154" s="48"/>
      <c r="O154" s="48"/>
      <c r="P154" s="48"/>
      <c r="Q154" s="125">
        <v>1468.581</v>
      </c>
    </row>
    <row r="155" spans="2:17" ht="20.25" customHeight="1">
      <c r="B155" s="172"/>
      <c r="C155" s="49" t="s">
        <v>13</v>
      </c>
      <c r="D155" s="39"/>
      <c r="E155" s="26">
        <f>SUM(E154:E154)</f>
        <v>1468.581</v>
      </c>
      <c r="F155" s="39"/>
      <c r="G155" s="26"/>
      <c r="H155" s="54"/>
      <c r="I155" s="54"/>
      <c r="J155" s="121">
        <f>J154</f>
        <v>1468.581</v>
      </c>
      <c r="K155" s="127"/>
      <c r="L155" s="26">
        <f t="shared" si="8"/>
        <v>1468.581</v>
      </c>
      <c r="M155" s="124"/>
      <c r="N155" s="124"/>
      <c r="O155" s="124"/>
      <c r="P155" s="124"/>
      <c r="Q155" s="126">
        <f>Q154</f>
        <v>1468.581</v>
      </c>
    </row>
    <row r="156" spans="2:17" ht="29.25" customHeight="1">
      <c r="B156" s="162" t="s">
        <v>52</v>
      </c>
      <c r="C156" s="45" t="s">
        <v>163</v>
      </c>
      <c r="D156" s="207" t="s">
        <v>174</v>
      </c>
      <c r="E156" s="52">
        <f>I156+J156</f>
        <v>7345.555</v>
      </c>
      <c r="F156" s="39"/>
      <c r="G156" s="52"/>
      <c r="H156" s="54"/>
      <c r="I156" s="54"/>
      <c r="J156" s="54">
        <v>7345.555</v>
      </c>
      <c r="K156" s="127">
        <v>1.528</v>
      </c>
      <c r="L156" s="52">
        <f t="shared" si="8"/>
        <v>7345.555</v>
      </c>
      <c r="M156" s="48"/>
      <c r="N156" s="48"/>
      <c r="O156" s="48"/>
      <c r="P156" s="48"/>
      <c r="Q156" s="54">
        <v>7345.555</v>
      </c>
    </row>
    <row r="157" spans="2:17" ht="33.75" customHeight="1">
      <c r="B157" s="164"/>
      <c r="C157" s="45" t="s">
        <v>164</v>
      </c>
      <c r="D157" s="163"/>
      <c r="E157" s="52">
        <f>I157+J157</f>
        <v>7969.396</v>
      </c>
      <c r="F157" s="39"/>
      <c r="G157" s="52"/>
      <c r="H157" s="54"/>
      <c r="I157" s="54"/>
      <c r="J157" s="54">
        <v>7969.396</v>
      </c>
      <c r="K157" s="127">
        <v>1.457</v>
      </c>
      <c r="L157" s="52">
        <f t="shared" si="8"/>
        <v>7969.396</v>
      </c>
      <c r="M157" s="48"/>
      <c r="N157" s="48"/>
      <c r="O157" s="48"/>
      <c r="P157" s="48"/>
      <c r="Q157" s="54">
        <v>7969.396</v>
      </c>
    </row>
    <row r="158" spans="2:17" ht="20.25" customHeight="1">
      <c r="B158" s="163"/>
      <c r="C158" s="49" t="s">
        <v>13</v>
      </c>
      <c r="D158" s="39"/>
      <c r="E158" s="26">
        <f>SUM(E156:E157)</f>
        <v>15314.951000000001</v>
      </c>
      <c r="F158" s="39"/>
      <c r="G158" s="26"/>
      <c r="H158" s="54"/>
      <c r="I158" s="54"/>
      <c r="J158" s="121">
        <f>SUM(J156:J157)</f>
        <v>15314.951000000001</v>
      </c>
      <c r="K158" s="128">
        <f>K156+K157</f>
        <v>2.9850000000000003</v>
      </c>
      <c r="L158" s="26">
        <f t="shared" si="8"/>
        <v>15314.951000000001</v>
      </c>
      <c r="M158" s="124"/>
      <c r="N158" s="124"/>
      <c r="O158" s="124"/>
      <c r="P158" s="124"/>
      <c r="Q158" s="126">
        <f>SUM(Q156:Q157)</f>
        <v>15314.951000000001</v>
      </c>
    </row>
    <row r="159" spans="2:17" ht="18" customHeight="1">
      <c r="B159" s="162" t="s">
        <v>48</v>
      </c>
      <c r="C159" s="45" t="s">
        <v>165</v>
      </c>
      <c r="D159" s="207" t="s">
        <v>174</v>
      </c>
      <c r="E159" s="52">
        <f>I159+J159</f>
        <v>32302.199</v>
      </c>
      <c r="F159" s="39"/>
      <c r="G159" s="52"/>
      <c r="H159" s="54"/>
      <c r="I159" s="54"/>
      <c r="J159" s="54">
        <v>32302.199</v>
      </c>
      <c r="K159" s="127">
        <v>4.094</v>
      </c>
      <c r="L159" s="52">
        <f t="shared" si="8"/>
        <v>32129.262</v>
      </c>
      <c r="M159" s="48"/>
      <c r="N159" s="48"/>
      <c r="O159" s="48"/>
      <c r="P159" s="48"/>
      <c r="Q159" s="125">
        <v>32129.262</v>
      </c>
    </row>
    <row r="160" spans="2:17" ht="22.5" customHeight="1">
      <c r="B160" s="164"/>
      <c r="C160" s="45" t="s">
        <v>166</v>
      </c>
      <c r="D160" s="163"/>
      <c r="E160" s="52">
        <f>I160+J160</f>
        <v>22057.181</v>
      </c>
      <c r="F160" s="39"/>
      <c r="G160" s="52"/>
      <c r="H160" s="54"/>
      <c r="I160" s="54"/>
      <c r="J160" s="54">
        <v>22057.181</v>
      </c>
      <c r="K160" s="127">
        <v>2.243</v>
      </c>
      <c r="L160" s="52">
        <f t="shared" si="8"/>
        <v>22057.181</v>
      </c>
      <c r="M160" s="48"/>
      <c r="N160" s="48"/>
      <c r="O160" s="48"/>
      <c r="P160" s="48"/>
      <c r="Q160" s="54">
        <v>22057.181</v>
      </c>
    </row>
    <row r="161" spans="2:17" ht="20.25" customHeight="1">
      <c r="B161" s="163"/>
      <c r="C161" s="49" t="s">
        <v>13</v>
      </c>
      <c r="D161" s="39"/>
      <c r="E161" s="26">
        <f>SUM(E159:E160)</f>
        <v>54359.380000000005</v>
      </c>
      <c r="F161" s="39"/>
      <c r="G161" s="26"/>
      <c r="H161" s="54"/>
      <c r="I161" s="54"/>
      <c r="J161" s="121">
        <f>SUM(J159:J160)</f>
        <v>54359.380000000005</v>
      </c>
      <c r="K161" s="128">
        <f>K159+K160</f>
        <v>6.337</v>
      </c>
      <c r="L161" s="26">
        <f t="shared" si="8"/>
        <v>54186.443</v>
      </c>
      <c r="M161" s="124"/>
      <c r="N161" s="124"/>
      <c r="O161" s="124"/>
      <c r="P161" s="124"/>
      <c r="Q161" s="126">
        <f>SUM(Q159:Q160)</f>
        <v>54186.443</v>
      </c>
    </row>
    <row r="162" spans="2:17" ht="36.75" customHeight="1">
      <c r="B162" s="162" t="s">
        <v>46</v>
      </c>
      <c r="C162" s="23" t="s">
        <v>157</v>
      </c>
      <c r="D162" s="39" t="s">
        <v>5</v>
      </c>
      <c r="E162" s="52">
        <f>I162+J162</f>
        <v>342.66</v>
      </c>
      <c r="F162" s="39"/>
      <c r="G162" s="26"/>
      <c r="H162" s="54"/>
      <c r="I162" s="54"/>
      <c r="J162" s="54">
        <v>342.66</v>
      </c>
      <c r="K162" s="127"/>
      <c r="L162" s="52">
        <f t="shared" si="8"/>
        <v>342.66</v>
      </c>
      <c r="M162" s="48"/>
      <c r="N162" s="48"/>
      <c r="O162" s="48"/>
      <c r="P162" s="48"/>
      <c r="Q162" s="125">
        <v>342.66</v>
      </c>
    </row>
    <row r="163" spans="2:17" ht="21.75" customHeight="1">
      <c r="B163" s="163"/>
      <c r="C163" s="49" t="s">
        <v>13</v>
      </c>
      <c r="D163" s="39"/>
      <c r="E163" s="26">
        <f>E162</f>
        <v>342.66</v>
      </c>
      <c r="F163" s="39"/>
      <c r="G163" s="26"/>
      <c r="H163" s="54"/>
      <c r="I163" s="54"/>
      <c r="J163" s="121">
        <f>J162</f>
        <v>342.66</v>
      </c>
      <c r="K163" s="127"/>
      <c r="L163" s="26">
        <f t="shared" si="8"/>
        <v>342.66</v>
      </c>
      <c r="M163" s="124"/>
      <c r="N163" s="124"/>
      <c r="O163" s="124"/>
      <c r="P163" s="124"/>
      <c r="Q163" s="126">
        <f>Q162</f>
        <v>342.66</v>
      </c>
    </row>
    <row r="164" spans="2:17" ht="30.75" customHeight="1">
      <c r="B164" s="162" t="s">
        <v>45</v>
      </c>
      <c r="C164" s="23" t="s">
        <v>147</v>
      </c>
      <c r="D164" s="209" t="s">
        <v>167</v>
      </c>
      <c r="E164" s="52">
        <f>I164+J164</f>
        <v>214.364</v>
      </c>
      <c r="F164" s="39"/>
      <c r="G164" s="26"/>
      <c r="H164" s="54"/>
      <c r="I164" s="54"/>
      <c r="J164" s="54">
        <v>214.364</v>
      </c>
      <c r="K164" s="127"/>
      <c r="L164" s="52">
        <f t="shared" si="8"/>
        <v>214.364</v>
      </c>
      <c r="M164" s="48"/>
      <c r="N164" s="48"/>
      <c r="O164" s="48"/>
      <c r="P164" s="48"/>
      <c r="Q164" s="125">
        <v>214.364</v>
      </c>
    </row>
    <row r="165" spans="2:17" ht="35.25" customHeight="1">
      <c r="B165" s="164"/>
      <c r="C165" s="38" t="s">
        <v>148</v>
      </c>
      <c r="D165" s="164"/>
      <c r="E165" s="52">
        <f>I165+J165</f>
        <v>302.281</v>
      </c>
      <c r="F165" s="39"/>
      <c r="G165" s="26"/>
      <c r="H165" s="54"/>
      <c r="I165" s="54"/>
      <c r="J165" s="54">
        <v>302.281</v>
      </c>
      <c r="K165" s="127"/>
      <c r="L165" s="52">
        <f t="shared" si="8"/>
        <v>302.281</v>
      </c>
      <c r="M165" s="48"/>
      <c r="N165" s="48"/>
      <c r="O165" s="48"/>
      <c r="P165" s="48"/>
      <c r="Q165" s="125">
        <v>302.281</v>
      </c>
    </row>
    <row r="166" spans="2:17" ht="30" customHeight="1">
      <c r="B166" s="164"/>
      <c r="C166" s="146" t="s">
        <v>149</v>
      </c>
      <c r="D166" s="164"/>
      <c r="E166" s="52">
        <f>I166+J166</f>
        <v>297.574</v>
      </c>
      <c r="F166" s="39"/>
      <c r="G166" s="26"/>
      <c r="H166" s="54"/>
      <c r="I166" s="54"/>
      <c r="J166" s="54">
        <v>297.574</v>
      </c>
      <c r="K166" s="144"/>
      <c r="L166" s="52">
        <f t="shared" si="8"/>
        <v>297.574</v>
      </c>
      <c r="M166" s="48"/>
      <c r="N166" s="48"/>
      <c r="O166" s="48"/>
      <c r="P166" s="48"/>
      <c r="Q166" s="125">
        <v>297.574</v>
      </c>
    </row>
    <row r="167" spans="2:17" ht="30" customHeight="1">
      <c r="B167" s="164"/>
      <c r="C167" s="146" t="s">
        <v>161</v>
      </c>
      <c r="D167" s="164"/>
      <c r="E167" s="52">
        <f>I167+J167</f>
        <v>6258.406</v>
      </c>
      <c r="F167" s="39"/>
      <c r="G167" s="26"/>
      <c r="H167" s="54"/>
      <c r="I167" s="54"/>
      <c r="J167" s="54">
        <v>6258.406</v>
      </c>
      <c r="K167" s="144" t="s">
        <v>192</v>
      </c>
      <c r="L167" s="52">
        <f t="shared" si="8"/>
        <v>6258.40616</v>
      </c>
      <c r="M167" s="48"/>
      <c r="N167" s="48"/>
      <c r="O167" s="48"/>
      <c r="P167" s="48"/>
      <c r="Q167" s="125">
        <v>6258.40616</v>
      </c>
    </row>
    <row r="168" spans="2:17" ht="19.5" customHeight="1">
      <c r="B168" s="163"/>
      <c r="C168" s="49" t="s">
        <v>13</v>
      </c>
      <c r="D168" s="101"/>
      <c r="E168" s="26">
        <f>SUM(E164:E167)</f>
        <v>7072.625</v>
      </c>
      <c r="F168" s="39"/>
      <c r="G168" s="26"/>
      <c r="H168" s="54"/>
      <c r="I168" s="54"/>
      <c r="J168" s="121">
        <f>SUM(J164:J167)</f>
        <v>7072.625</v>
      </c>
      <c r="K168" s="145" t="s">
        <v>192</v>
      </c>
      <c r="L168" s="26">
        <f t="shared" si="8"/>
        <v>7072.6251600000005</v>
      </c>
      <c r="M168" s="124"/>
      <c r="N168" s="124"/>
      <c r="O168" s="124"/>
      <c r="P168" s="124"/>
      <c r="Q168" s="126">
        <f>SUM(Q164:Q167)</f>
        <v>7072.6251600000005</v>
      </c>
    </row>
    <row r="169" spans="2:17" ht="24" customHeight="1">
      <c r="B169" s="172" t="s">
        <v>42</v>
      </c>
      <c r="C169" s="23" t="s">
        <v>150</v>
      </c>
      <c r="D169" s="39" t="s">
        <v>168</v>
      </c>
      <c r="E169" s="52">
        <f>I169+J169</f>
        <v>740.598</v>
      </c>
      <c r="F169" s="39"/>
      <c r="G169" s="25"/>
      <c r="H169" s="54"/>
      <c r="I169" s="54"/>
      <c r="J169" s="54">
        <v>740.598</v>
      </c>
      <c r="K169" s="127"/>
      <c r="L169" s="52">
        <f t="shared" si="8"/>
        <v>740.598</v>
      </c>
      <c r="M169" s="48"/>
      <c r="N169" s="48"/>
      <c r="O169" s="48"/>
      <c r="P169" s="48"/>
      <c r="Q169" s="125">
        <v>740.598</v>
      </c>
    </row>
    <row r="170" spans="2:17" ht="21" customHeight="1">
      <c r="B170" s="172"/>
      <c r="C170" s="49" t="s">
        <v>13</v>
      </c>
      <c r="D170" s="39"/>
      <c r="E170" s="26">
        <f>E169</f>
        <v>740.598</v>
      </c>
      <c r="F170" s="39"/>
      <c r="G170" s="25"/>
      <c r="H170" s="54"/>
      <c r="I170" s="54"/>
      <c r="J170" s="121">
        <f>J169</f>
        <v>740.598</v>
      </c>
      <c r="K170" s="127"/>
      <c r="L170" s="26">
        <f t="shared" si="8"/>
        <v>740.598</v>
      </c>
      <c r="M170" s="124"/>
      <c r="N170" s="124"/>
      <c r="O170" s="124"/>
      <c r="P170" s="124"/>
      <c r="Q170" s="126">
        <f>Q169</f>
        <v>740.598</v>
      </c>
    </row>
    <row r="171" spans="2:17" ht="12.75" hidden="1">
      <c r="B171" s="171" t="s">
        <v>25</v>
      </c>
      <c r="C171" s="171"/>
      <c r="D171" s="39"/>
      <c r="E171" s="26"/>
      <c r="F171" s="39"/>
      <c r="G171" s="26"/>
      <c r="H171" s="54"/>
      <c r="I171" s="54"/>
      <c r="J171" s="54"/>
      <c r="K171" s="127"/>
      <c r="L171" s="52">
        <f t="shared" si="8"/>
        <v>0</v>
      </c>
      <c r="M171" s="48"/>
      <c r="N171" s="48"/>
      <c r="O171" s="48"/>
      <c r="P171" s="48"/>
      <c r="Q171" s="125"/>
    </row>
    <row r="172" spans="2:17" ht="32.25" customHeight="1">
      <c r="B172" s="172" t="s">
        <v>43</v>
      </c>
      <c r="C172" s="23" t="s">
        <v>151</v>
      </c>
      <c r="D172" s="41" t="s">
        <v>169</v>
      </c>
      <c r="E172" s="52">
        <f>I172+J172</f>
        <v>8252.402</v>
      </c>
      <c r="F172" s="39"/>
      <c r="G172" s="39"/>
      <c r="H172" s="37"/>
      <c r="I172" s="37"/>
      <c r="J172" s="54">
        <v>8252.402</v>
      </c>
      <c r="K172" s="127"/>
      <c r="L172" s="52">
        <f t="shared" si="8"/>
        <v>8252.402</v>
      </c>
      <c r="M172" s="48"/>
      <c r="N172" s="48"/>
      <c r="O172" s="48"/>
      <c r="P172" s="48"/>
      <c r="Q172" s="125">
        <v>8252.402</v>
      </c>
    </row>
    <row r="173" spans="2:17" ht="32.25" customHeight="1">
      <c r="B173" s="172"/>
      <c r="C173" s="23" t="s">
        <v>162</v>
      </c>
      <c r="D173" s="41" t="s">
        <v>170</v>
      </c>
      <c r="E173" s="52">
        <f>I173+J173</f>
        <v>8321.956</v>
      </c>
      <c r="F173" s="39"/>
      <c r="G173" s="39"/>
      <c r="H173" s="37"/>
      <c r="I173" s="37"/>
      <c r="J173" s="54">
        <v>8321.956</v>
      </c>
      <c r="K173" s="127"/>
      <c r="L173" s="52">
        <f t="shared" si="8"/>
        <v>8321.95582</v>
      </c>
      <c r="M173" s="48"/>
      <c r="N173" s="48"/>
      <c r="O173" s="48"/>
      <c r="P173" s="48"/>
      <c r="Q173" s="125">
        <v>8321.95582</v>
      </c>
    </row>
    <row r="174" spans="2:17" ht="17.25" customHeight="1">
      <c r="B174" s="172"/>
      <c r="C174" s="49" t="s">
        <v>13</v>
      </c>
      <c r="D174" s="42"/>
      <c r="E174" s="43">
        <f>SUM(E172:E173)</f>
        <v>16574.358</v>
      </c>
      <c r="F174" s="39"/>
      <c r="G174" s="39"/>
      <c r="H174" s="37"/>
      <c r="I174" s="37"/>
      <c r="J174" s="121">
        <f>SUM(J172:J173)</f>
        <v>16574.358</v>
      </c>
      <c r="K174" s="127"/>
      <c r="L174" s="26">
        <f t="shared" si="8"/>
        <v>16574.357819999997</v>
      </c>
      <c r="M174" s="124"/>
      <c r="N174" s="124"/>
      <c r="O174" s="124"/>
      <c r="P174" s="124"/>
      <c r="Q174" s="126">
        <f>SUM(Q172:Q173)</f>
        <v>16574.357819999997</v>
      </c>
    </row>
    <row r="175" spans="2:17" ht="23.25" customHeight="1">
      <c r="B175" s="172" t="s">
        <v>44</v>
      </c>
      <c r="C175" s="55" t="s">
        <v>152</v>
      </c>
      <c r="D175" s="206" t="s">
        <v>171</v>
      </c>
      <c r="E175" s="52">
        <f>I175+J175</f>
        <v>435.44</v>
      </c>
      <c r="F175" s="57"/>
      <c r="G175" s="57"/>
      <c r="H175" s="147"/>
      <c r="I175" s="147"/>
      <c r="J175" s="130">
        <v>435.44</v>
      </c>
      <c r="K175" s="144"/>
      <c r="L175" s="52">
        <f t="shared" si="8"/>
        <v>435.44</v>
      </c>
      <c r="M175" s="48"/>
      <c r="N175" s="48"/>
      <c r="O175" s="48"/>
      <c r="P175" s="48"/>
      <c r="Q175" s="125">
        <v>435.44</v>
      </c>
    </row>
    <row r="176" spans="2:17" ht="33.75" customHeight="1">
      <c r="B176" s="172"/>
      <c r="C176" s="148" t="s">
        <v>160</v>
      </c>
      <c r="D176" s="210"/>
      <c r="E176" s="52">
        <f>I176+J176</f>
        <v>8951.054</v>
      </c>
      <c r="F176" s="57"/>
      <c r="G176" s="57"/>
      <c r="H176" s="147"/>
      <c r="I176" s="147"/>
      <c r="J176" s="130">
        <v>8951.054</v>
      </c>
      <c r="K176" s="144"/>
      <c r="L176" s="52">
        <f t="shared" si="8"/>
        <v>8951.05402</v>
      </c>
      <c r="M176" s="48"/>
      <c r="N176" s="48"/>
      <c r="O176" s="48"/>
      <c r="P176" s="48"/>
      <c r="Q176" s="125">
        <v>8951.05402</v>
      </c>
    </row>
    <row r="177" spans="2:17" ht="18.75" customHeight="1">
      <c r="B177" s="172"/>
      <c r="C177" s="49" t="s">
        <v>13</v>
      </c>
      <c r="D177" s="42"/>
      <c r="E177" s="43">
        <f>SUM(E175:E176)</f>
        <v>9386.494</v>
      </c>
      <c r="F177" s="39"/>
      <c r="G177" s="39"/>
      <c r="H177" s="37"/>
      <c r="I177" s="37"/>
      <c r="J177" s="121">
        <f>SUM(J175:J176)</f>
        <v>9386.494</v>
      </c>
      <c r="K177" s="127"/>
      <c r="L177" s="26">
        <f t="shared" si="8"/>
        <v>9386.49402</v>
      </c>
      <c r="M177" s="124"/>
      <c r="N177" s="124"/>
      <c r="O177" s="124"/>
      <c r="P177" s="124"/>
      <c r="Q177" s="126">
        <f>SUM(Q175:Q176)</f>
        <v>9386.49402</v>
      </c>
    </row>
    <row r="178" spans="2:17" ht="28.5" customHeight="1">
      <c r="B178" s="172" t="s">
        <v>59</v>
      </c>
      <c r="C178" s="55" t="s">
        <v>154</v>
      </c>
      <c r="D178" s="206" t="s">
        <v>172</v>
      </c>
      <c r="E178" s="52">
        <f>I178+J178</f>
        <v>620.926</v>
      </c>
      <c r="F178" s="39"/>
      <c r="G178" s="39"/>
      <c r="H178" s="37"/>
      <c r="I178" s="37"/>
      <c r="J178" s="54">
        <v>620.926</v>
      </c>
      <c r="K178" s="127"/>
      <c r="L178" s="52">
        <f t="shared" si="8"/>
        <v>620.926</v>
      </c>
      <c r="M178" s="48"/>
      <c r="N178" s="48"/>
      <c r="O178" s="48"/>
      <c r="P178" s="48"/>
      <c r="Q178" s="125">
        <v>620.926</v>
      </c>
    </row>
    <row r="179" spans="2:17" ht="23.25" customHeight="1">
      <c r="B179" s="172"/>
      <c r="C179" s="55" t="s">
        <v>153</v>
      </c>
      <c r="D179" s="164"/>
      <c r="E179" s="52">
        <f>I179+J179</f>
        <v>1521.336</v>
      </c>
      <c r="F179" s="39"/>
      <c r="G179" s="39"/>
      <c r="H179" s="37"/>
      <c r="I179" s="37"/>
      <c r="J179" s="54">
        <v>1521.336</v>
      </c>
      <c r="K179" s="127"/>
      <c r="L179" s="52">
        <f t="shared" si="8"/>
        <v>1521.336</v>
      </c>
      <c r="M179" s="48"/>
      <c r="N179" s="48"/>
      <c r="O179" s="48"/>
      <c r="P179" s="48"/>
      <c r="Q179" s="125">
        <v>1521.336</v>
      </c>
    </row>
    <row r="180" spans="2:17" ht="22.5" customHeight="1">
      <c r="B180" s="172"/>
      <c r="C180" s="55" t="s">
        <v>155</v>
      </c>
      <c r="D180" s="164"/>
      <c r="E180" s="52">
        <f>I180+J180</f>
        <v>267.808</v>
      </c>
      <c r="F180" s="39"/>
      <c r="G180" s="39"/>
      <c r="H180" s="37"/>
      <c r="I180" s="37"/>
      <c r="J180" s="54">
        <v>267.808</v>
      </c>
      <c r="K180" s="127"/>
      <c r="L180" s="52">
        <f t="shared" si="8"/>
        <v>267.808</v>
      </c>
      <c r="M180" s="48"/>
      <c r="N180" s="48"/>
      <c r="O180" s="48"/>
      <c r="P180" s="48"/>
      <c r="Q180" s="125">
        <v>267.808</v>
      </c>
    </row>
    <row r="181" spans="2:17" ht="29.25" customHeight="1">
      <c r="B181" s="172"/>
      <c r="C181" s="55" t="s">
        <v>156</v>
      </c>
      <c r="D181" s="163"/>
      <c r="E181" s="52">
        <f>I181+J181</f>
        <v>686.699</v>
      </c>
      <c r="F181" s="39"/>
      <c r="G181" s="39"/>
      <c r="H181" s="37"/>
      <c r="I181" s="37"/>
      <c r="J181" s="54">
        <v>686.699</v>
      </c>
      <c r="K181" s="127"/>
      <c r="L181" s="52">
        <f t="shared" si="8"/>
        <v>686.699</v>
      </c>
      <c r="M181" s="48"/>
      <c r="N181" s="48"/>
      <c r="O181" s="48"/>
      <c r="P181" s="48"/>
      <c r="Q181" s="125">
        <v>686.699</v>
      </c>
    </row>
    <row r="182" spans="2:17" ht="22.5" customHeight="1">
      <c r="B182" s="172"/>
      <c r="C182" s="55" t="s">
        <v>159</v>
      </c>
      <c r="D182" s="41" t="s">
        <v>174</v>
      </c>
      <c r="E182" s="52">
        <f>I182+J182</f>
        <v>9323.579</v>
      </c>
      <c r="F182" s="39"/>
      <c r="G182" s="39"/>
      <c r="H182" s="37"/>
      <c r="I182" s="37"/>
      <c r="J182" s="54">
        <v>9323.579</v>
      </c>
      <c r="K182" s="127">
        <v>1.2</v>
      </c>
      <c r="L182" s="52">
        <f t="shared" si="8"/>
        <v>9323.579</v>
      </c>
      <c r="M182" s="48"/>
      <c r="N182" s="48"/>
      <c r="O182" s="48"/>
      <c r="P182" s="48"/>
      <c r="Q182" s="54">
        <v>9323.579</v>
      </c>
    </row>
    <row r="183" spans="2:17" ht="18.75" customHeight="1">
      <c r="B183" s="172"/>
      <c r="C183" s="49" t="s">
        <v>13</v>
      </c>
      <c r="D183" s="42"/>
      <c r="E183" s="43">
        <f>SUM(E178:E182)</f>
        <v>12420.348</v>
      </c>
      <c r="F183" s="39"/>
      <c r="G183" s="39"/>
      <c r="H183" s="37"/>
      <c r="I183" s="37"/>
      <c r="J183" s="121">
        <f>SUM(J178:J182)</f>
        <v>12420.348</v>
      </c>
      <c r="K183" s="128">
        <f>K182</f>
        <v>1.2</v>
      </c>
      <c r="L183" s="26">
        <f t="shared" si="8"/>
        <v>12420.348</v>
      </c>
      <c r="M183" s="124"/>
      <c r="N183" s="124"/>
      <c r="O183" s="124"/>
      <c r="P183" s="124"/>
      <c r="Q183" s="126">
        <f>SUM(Q178:Q182)</f>
        <v>12420.348</v>
      </c>
    </row>
    <row r="184" spans="2:17" ht="34.5" customHeight="1">
      <c r="B184" s="172" t="s">
        <v>56</v>
      </c>
      <c r="C184" s="55" t="s">
        <v>158</v>
      </c>
      <c r="D184" s="40" t="s">
        <v>126</v>
      </c>
      <c r="E184" s="52">
        <f>I184+J184</f>
        <v>1845.343</v>
      </c>
      <c r="F184" s="39"/>
      <c r="G184" s="39"/>
      <c r="H184" s="37"/>
      <c r="I184" s="37"/>
      <c r="J184" s="54">
        <v>1845.343</v>
      </c>
      <c r="K184" s="127"/>
      <c r="L184" s="52">
        <f t="shared" si="8"/>
        <v>1845.343</v>
      </c>
      <c r="M184" s="48"/>
      <c r="N184" s="48"/>
      <c r="O184" s="48"/>
      <c r="P184" s="48"/>
      <c r="Q184" s="125">
        <v>1845.343</v>
      </c>
    </row>
    <row r="185" spans="2:17" ht="17.25" customHeight="1">
      <c r="B185" s="172"/>
      <c r="C185" s="49" t="s">
        <v>13</v>
      </c>
      <c r="D185" s="57"/>
      <c r="E185" s="43">
        <f>E184</f>
        <v>1845.343</v>
      </c>
      <c r="F185" s="39"/>
      <c r="G185" s="39"/>
      <c r="H185" s="37"/>
      <c r="I185" s="37"/>
      <c r="J185" s="121">
        <f>J184</f>
        <v>1845.343</v>
      </c>
      <c r="K185" s="127"/>
      <c r="L185" s="26">
        <f t="shared" si="8"/>
        <v>1845.343</v>
      </c>
      <c r="M185" s="124"/>
      <c r="N185" s="124"/>
      <c r="O185" s="124"/>
      <c r="P185" s="124"/>
      <c r="Q185" s="126">
        <f>Q184</f>
        <v>1845.343</v>
      </c>
    </row>
    <row r="186" spans="2:17" ht="17.25" customHeight="1">
      <c r="B186" s="100"/>
      <c r="C186" s="34" t="s">
        <v>175</v>
      </c>
      <c r="D186" s="57"/>
      <c r="E186" s="56">
        <f>I186+J186</f>
        <v>3.988</v>
      </c>
      <c r="F186" s="39"/>
      <c r="G186" s="39"/>
      <c r="H186" s="37"/>
      <c r="I186" s="37"/>
      <c r="J186" s="54">
        <v>3.988</v>
      </c>
      <c r="K186" s="127"/>
      <c r="L186" s="26"/>
      <c r="M186" s="124"/>
      <c r="N186" s="124"/>
      <c r="O186" s="124"/>
      <c r="P186" s="124"/>
      <c r="Q186" s="126"/>
    </row>
    <row r="187" spans="2:17" ht="21" customHeight="1">
      <c r="B187" s="171" t="s">
        <v>25</v>
      </c>
      <c r="C187" s="171"/>
      <c r="D187" s="39"/>
      <c r="E187" s="121">
        <f>E185+E183+E177+E174+E170+E168+E163+E155+E158+E161+E186</f>
        <v>119529.32600000002</v>
      </c>
      <c r="F187" s="39"/>
      <c r="G187" s="26"/>
      <c r="H187" s="54"/>
      <c r="I187" s="54"/>
      <c r="J187" s="121">
        <f>J185+J183+J177+J174+J170+J168+J163+J155+J158+J161+J186</f>
        <v>119529.32600000002</v>
      </c>
      <c r="K187" s="129" t="s">
        <v>193</v>
      </c>
      <c r="L187" s="26">
        <f>Q187+P187</f>
        <v>119352.401</v>
      </c>
      <c r="M187" s="48"/>
      <c r="N187" s="48"/>
      <c r="O187" s="48"/>
      <c r="P187" s="48"/>
      <c r="Q187" s="121">
        <f>Q185+Q183+Q177+Q174+Q170+Q168+Q163+Q155+Q158+Q161</f>
        <v>119352.401</v>
      </c>
    </row>
    <row r="188" ht="12.75">
      <c r="Q188" s="122"/>
    </row>
  </sheetData>
  <sheetProtection/>
  <mergeCells count="80">
    <mergeCell ref="B14:B18"/>
    <mergeCell ref="B20:B23"/>
    <mergeCell ref="B27:C27"/>
    <mergeCell ref="B28:D28"/>
    <mergeCell ref="D178:D181"/>
    <mergeCell ref="D156:D157"/>
    <mergeCell ref="D159:D160"/>
    <mergeCell ref="D122:D126"/>
    <mergeCell ref="B132:B133"/>
    <mergeCell ref="D132:D133"/>
    <mergeCell ref="B150:C150"/>
    <mergeCell ref="D164:D167"/>
    <mergeCell ref="D175:D176"/>
    <mergeCell ref="B140:B141"/>
    <mergeCell ref="D100:D101"/>
    <mergeCell ref="D102:D103"/>
    <mergeCell ref="D104:D105"/>
    <mergeCell ref="B151:C151"/>
    <mergeCell ref="B149:C149"/>
    <mergeCell ref="J1:Q1"/>
    <mergeCell ref="B86:Q86"/>
    <mergeCell ref="B90:B91"/>
    <mergeCell ref="B87:B88"/>
    <mergeCell ref="B2:Q2"/>
    <mergeCell ref="B93:B94"/>
    <mergeCell ref="B3:Q3"/>
    <mergeCell ref="B49:Q49"/>
    <mergeCell ref="B29:Q29"/>
    <mergeCell ref="B47:D47"/>
    <mergeCell ref="B73:B74"/>
    <mergeCell ref="B6:B8"/>
    <mergeCell ref="C6:C8"/>
    <mergeCell ref="E6:J7"/>
    <mergeCell ref="K6:Q7"/>
    <mergeCell ref="D90:D91"/>
    <mergeCell ref="B48:D48"/>
    <mergeCell ref="B52:B53"/>
    <mergeCell ref="B78:B80"/>
    <mergeCell ref="B50:B51"/>
    <mergeCell ref="B84:D84"/>
    <mergeCell ref="D87:D88"/>
    <mergeCell ref="D75:D76"/>
    <mergeCell ref="D6:D8"/>
    <mergeCell ref="B67:B68"/>
    <mergeCell ref="C30:C46"/>
    <mergeCell ref="B85:D85"/>
    <mergeCell ref="B61:B64"/>
    <mergeCell ref="B75:B77"/>
    <mergeCell ref="B10:Q10"/>
    <mergeCell ref="B11:B12"/>
    <mergeCell ref="B65:B66"/>
    <mergeCell ref="B169:B170"/>
    <mergeCell ref="B154:B155"/>
    <mergeCell ref="B83:C83"/>
    <mergeCell ref="B82:C82"/>
    <mergeCell ref="B69:B70"/>
    <mergeCell ref="B71:B72"/>
    <mergeCell ref="B135:B138"/>
    <mergeCell ref="B96:B98"/>
    <mergeCell ref="B110:B112"/>
    <mergeCell ref="D136:D137"/>
    <mergeCell ref="D140:D142"/>
    <mergeCell ref="B187:C187"/>
    <mergeCell ref="B172:B174"/>
    <mergeCell ref="B175:B177"/>
    <mergeCell ref="B178:B183"/>
    <mergeCell ref="B184:B185"/>
    <mergeCell ref="B171:C171"/>
    <mergeCell ref="B152:D152"/>
    <mergeCell ref="B153:L153"/>
    <mergeCell ref="B162:B163"/>
    <mergeCell ref="B164:B168"/>
    <mergeCell ref="B156:B158"/>
    <mergeCell ref="B159:B161"/>
    <mergeCell ref="D110:D112"/>
    <mergeCell ref="D116:D119"/>
    <mergeCell ref="B116:B119"/>
    <mergeCell ref="B100:B108"/>
    <mergeCell ref="B121:B126"/>
  </mergeCells>
  <printOptions/>
  <pageMargins left="0.5905511811023623" right="0.11811023622047245" top="0.15748031496062992" bottom="0.1968503937007874" header="0.1968503937007874" footer="0.07874015748031496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Анатольевна Сокол</cp:lastModifiedBy>
  <cp:lastPrinted>2017-01-31T07:02:08Z</cp:lastPrinted>
  <dcterms:created xsi:type="dcterms:W3CDTF">1996-10-08T23:32:33Z</dcterms:created>
  <dcterms:modified xsi:type="dcterms:W3CDTF">2018-06-14T06:15:36Z</dcterms:modified>
  <cp:category/>
  <cp:version/>
  <cp:contentType/>
  <cp:contentStatus/>
</cp:coreProperties>
</file>