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310"/>
  </bookViews>
  <sheets>
    <sheet name="тыс. руб краткая" sheetId="1" r:id="rId1"/>
  </sheets>
  <externalReferences>
    <externalReference r:id="rId2"/>
    <externalReference r:id="rId3"/>
    <externalReference r:id="rId4"/>
    <externalReference r:id="rId5"/>
  </externalReferences>
  <definedNames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_xlnm.Print_Titles" localSheetId="0">'тыс. руб краткая'!$4:$6</definedName>
  </definedNames>
  <calcPr calcId="145621"/>
</workbook>
</file>

<file path=xl/calcChain.xml><?xml version="1.0" encoding="utf-8"?>
<calcChain xmlns="http://schemas.openxmlformats.org/spreadsheetml/2006/main">
  <c r="K299" i="1" l="1"/>
  <c r="K291" i="1"/>
  <c r="K289" i="1"/>
  <c r="K284" i="1"/>
  <c r="AL278" i="1"/>
  <c r="BN277" i="1"/>
  <c r="BH277" i="1"/>
  <c r="CD276" i="1"/>
  <c r="BJ276" i="1"/>
  <c r="BH276" i="1"/>
  <c r="AX276" i="1"/>
  <c r="AY276" i="1" s="1"/>
  <c r="AQ276" i="1"/>
  <c r="AN276" i="1"/>
  <c r="AJ276" i="1"/>
  <c r="AI276" i="1"/>
  <c r="AG276" i="1"/>
  <c r="AF276" i="1"/>
  <c r="AD276" i="1"/>
  <c r="BY276" i="1" s="1"/>
  <c r="X276" i="1"/>
  <c r="V276" i="1"/>
  <c r="S276" i="1"/>
  <c r="R276" i="1"/>
  <c r="P276" i="1"/>
  <c r="M276" i="1"/>
  <c r="G276" i="1"/>
  <c r="F276" i="1"/>
  <c r="CF275" i="1"/>
  <c r="BU270" i="1"/>
  <c r="BT270" i="1"/>
  <c r="BS270" i="1"/>
  <c r="BQ270" i="1"/>
  <c r="BO270" i="1"/>
  <c r="BM270" i="1"/>
  <c r="BK270" i="1"/>
  <c r="BI270" i="1"/>
  <c r="BE270" i="1"/>
  <c r="BJ269" i="1"/>
  <c r="BH269" i="1"/>
  <c r="BB269" i="1"/>
  <c r="AY269" i="1"/>
  <c r="AX269" i="1"/>
  <c r="AT269" i="1"/>
  <c r="AS269" i="1"/>
  <c r="AQ269" i="1"/>
  <c r="AR269" i="1" s="1"/>
  <c r="AN269" i="1"/>
  <c r="AK269" i="1" s="1"/>
  <c r="AJ269" i="1"/>
  <c r="AI269" i="1"/>
  <c r="AH269" i="1" s="1"/>
  <c r="X269" i="1"/>
  <c r="Y269" i="1" s="1"/>
  <c r="V269" i="1"/>
  <c r="S269" i="1"/>
  <c r="R269" i="1"/>
  <c r="Q269" i="1" s="1"/>
  <c r="J269" i="1"/>
  <c r="I269" i="1"/>
  <c r="E269" i="1"/>
  <c r="CJ268" i="1"/>
  <c r="CH268" i="1"/>
  <c r="CF268" i="1" s="1"/>
  <c r="CE268" i="1"/>
  <c r="BZ268" i="1"/>
  <c r="BP268" i="1"/>
  <c r="BQ268" i="1" s="1"/>
  <c r="BJ268" i="1"/>
  <c r="BV268" i="1" s="1"/>
  <c r="BH268" i="1"/>
  <c r="BE268" i="1"/>
  <c r="BD268" i="1"/>
  <c r="AY268" i="1"/>
  <c r="AV268" i="1"/>
  <c r="AQ268" i="1"/>
  <c r="AN268" i="1"/>
  <c r="AJ268" i="1"/>
  <c r="AJ266" i="1" s="1"/>
  <c r="AI268" i="1"/>
  <c r="AH268" i="1" s="1"/>
  <c r="AE268" i="1"/>
  <c r="AD268" i="1"/>
  <c r="BY268" i="1" s="1"/>
  <c r="X268" i="1"/>
  <c r="S268" i="1"/>
  <c r="P268" i="1"/>
  <c r="L268" i="1"/>
  <c r="BT268" i="1" s="1"/>
  <c r="G268" i="1"/>
  <c r="CJ267" i="1"/>
  <c r="CH267" i="1"/>
  <c r="CF267" i="1" s="1"/>
  <c r="CE267" i="1"/>
  <c r="BZ267" i="1"/>
  <c r="CA267" i="1" s="1"/>
  <c r="BY267" i="1"/>
  <c r="BT267" i="1"/>
  <c r="BP267" i="1"/>
  <c r="BK267" i="1"/>
  <c r="BJ267" i="1"/>
  <c r="BV267" i="1" s="1"/>
  <c r="BF267" i="1"/>
  <c r="BD267" i="1"/>
  <c r="BE267" i="1" s="1"/>
  <c r="BC267" i="1"/>
  <c r="BB267" i="1"/>
  <c r="AV267" i="1"/>
  <c r="AW267" i="1" s="1"/>
  <c r="AQ267" i="1"/>
  <c r="AJ267" i="1"/>
  <c r="AI267" i="1"/>
  <c r="AH267" i="1" s="1"/>
  <c r="AE267" i="1"/>
  <c r="X267" i="1"/>
  <c r="AD267" i="1" s="1"/>
  <c r="S267" i="1"/>
  <c r="Q267" i="1"/>
  <c r="P267" i="1"/>
  <c r="P266" i="1" s="1"/>
  <c r="O267" i="1"/>
  <c r="L267" i="1"/>
  <c r="I267" i="1" s="1"/>
  <c r="K267" i="1"/>
  <c r="J267" i="1"/>
  <c r="E267" i="1"/>
  <c r="CJ266" i="1"/>
  <c r="CH266" i="1" s="1"/>
  <c r="CF266" i="1" s="1"/>
  <c r="CD266" i="1"/>
  <c r="CB266" i="1"/>
  <c r="AY266" i="1"/>
  <c r="AX266" i="1"/>
  <c r="AV266" i="1"/>
  <c r="AI266" i="1"/>
  <c r="AG266" i="1"/>
  <c r="AF266" i="1"/>
  <c r="AE266" i="1"/>
  <c r="S266" i="1"/>
  <c r="M266" i="1"/>
  <c r="L266" i="1"/>
  <c r="G266" i="1"/>
  <c r="F266" i="1"/>
  <c r="BN264" i="1"/>
  <c r="BL264" i="1"/>
  <c r="Z264" i="1"/>
  <c r="S264" i="1"/>
  <c r="K264" i="1"/>
  <c r="BY263" i="1"/>
  <c r="BV263" i="1"/>
  <c r="BR263" i="1" s="1"/>
  <c r="BT263" i="1"/>
  <c r="BN263" i="1"/>
  <c r="BL263" i="1" s="1"/>
  <c r="BJ263" i="1"/>
  <c r="BF263" i="1" s="1"/>
  <c r="BG263" i="1"/>
  <c r="BD263" i="1"/>
  <c r="AW263" i="1"/>
  <c r="AT263" i="1"/>
  <c r="AU263" i="1" s="1"/>
  <c r="AQ263" i="1"/>
  <c r="AK263" i="1"/>
  <c r="AM263" i="1" s="1"/>
  <c r="AD263" i="1"/>
  <c r="T263" i="1"/>
  <c r="R263" i="1"/>
  <c r="P263" i="1"/>
  <c r="N263" i="1"/>
  <c r="K263" i="1"/>
  <c r="BT262" i="1"/>
  <c r="BL262" i="1"/>
  <c r="BJ262" i="1"/>
  <c r="BB262" i="1"/>
  <c r="AY262" i="1"/>
  <c r="AX262" i="1"/>
  <c r="AT262" i="1"/>
  <c r="AU262" i="1" s="1"/>
  <c r="AQ262" i="1"/>
  <c r="AK262" i="1"/>
  <c r="AB262" i="1"/>
  <c r="S262" i="1"/>
  <c r="AS262" i="1" s="1"/>
  <c r="K262" i="1"/>
  <c r="BL261" i="1"/>
  <c r="BJ261" i="1"/>
  <c r="BB261" i="1"/>
  <c r="AX261" i="1"/>
  <c r="AN261" i="1"/>
  <c r="AM261" i="1"/>
  <c r="AK261" i="1"/>
  <c r="AB261" i="1"/>
  <c r="W261" i="1"/>
  <c r="T261" i="1"/>
  <c r="P261" i="1"/>
  <c r="N261" i="1"/>
  <c r="M261" i="1"/>
  <c r="S261" i="1" s="1"/>
  <c r="K261" i="1"/>
  <c r="BY260" i="1"/>
  <c r="BV260" i="1"/>
  <c r="BT260" i="1"/>
  <c r="BL260" i="1"/>
  <c r="BJ260" i="1"/>
  <c r="BK260" i="1" s="1"/>
  <c r="BF260" i="1"/>
  <c r="BB260" i="1"/>
  <c r="AX260" i="1"/>
  <c r="AS260" i="1"/>
  <c r="AR260" i="1"/>
  <c r="AM260" i="1"/>
  <c r="AK260" i="1"/>
  <c r="AJ260" i="1"/>
  <c r="AH260" i="1"/>
  <c r="AB260" i="1"/>
  <c r="Z260" i="1"/>
  <c r="AA260" i="1" s="1"/>
  <c r="X260" i="1"/>
  <c r="Y260" i="1" s="1"/>
  <c r="T260" i="1"/>
  <c r="U260" i="1" s="1"/>
  <c r="S260" i="1"/>
  <c r="AD260" i="1" s="1"/>
  <c r="Q260" i="1"/>
  <c r="P260" i="1"/>
  <c r="N260" i="1"/>
  <c r="K260" i="1"/>
  <c r="BP259" i="1"/>
  <c r="BO259" i="1"/>
  <c r="BN259" i="1"/>
  <c r="BL259" i="1" s="1"/>
  <c r="BH259" i="1"/>
  <c r="AV259" i="1"/>
  <c r="AQ259" i="1"/>
  <c r="AN259" i="1"/>
  <c r="AK259" i="1"/>
  <c r="V259" i="1"/>
  <c r="M259" i="1"/>
  <c r="L259" i="1"/>
  <c r="AW259" i="1" s="1"/>
  <c r="K259" i="1"/>
  <c r="BT257" i="1"/>
  <c r="AY257" i="1"/>
  <c r="AW257" i="1"/>
  <c r="AU257" i="1"/>
  <c r="AS257" i="1"/>
  <c r="AR257" i="1"/>
  <c r="AM257" i="1"/>
  <c r="AL257" i="1"/>
  <c r="BT256" i="1"/>
  <c r="AY256" i="1"/>
  <c r="AW256" i="1"/>
  <c r="AU256" i="1"/>
  <c r="AS256" i="1"/>
  <c r="AR256" i="1"/>
  <c r="AM256" i="1"/>
  <c r="AL256" i="1"/>
  <c r="BT255" i="1"/>
  <c r="AY255" i="1"/>
  <c r="AW255" i="1"/>
  <c r="AU255" i="1"/>
  <c r="AS255" i="1"/>
  <c r="AR255" i="1"/>
  <c r="AM255" i="1"/>
  <c r="AL255" i="1"/>
  <c r="BT254" i="1"/>
  <c r="AY254" i="1"/>
  <c r="AW254" i="1"/>
  <c r="AU254" i="1"/>
  <c r="AS254" i="1"/>
  <c r="AR254" i="1"/>
  <c r="AM254" i="1"/>
  <c r="AL254" i="1"/>
  <c r="BT253" i="1"/>
  <c r="AY253" i="1"/>
  <c r="AW253" i="1"/>
  <c r="AU253" i="1"/>
  <c r="AS253" i="1"/>
  <c r="AR253" i="1"/>
  <c r="AM253" i="1"/>
  <c r="AL253" i="1"/>
  <c r="BT252" i="1"/>
  <c r="AY252" i="1"/>
  <c r="AW252" i="1"/>
  <c r="AU252" i="1"/>
  <c r="AS252" i="1"/>
  <c r="AR252" i="1"/>
  <c r="AM252" i="1"/>
  <c r="AL252" i="1"/>
  <c r="BT251" i="1"/>
  <c r="AY251" i="1"/>
  <c r="AW251" i="1"/>
  <c r="AU251" i="1"/>
  <c r="AS251" i="1"/>
  <c r="AR251" i="1"/>
  <c r="AM251" i="1"/>
  <c r="AL251" i="1"/>
  <c r="BT250" i="1"/>
  <c r="AY250" i="1"/>
  <c r="AW250" i="1"/>
  <c r="AU250" i="1"/>
  <c r="AS250" i="1"/>
  <c r="AR250" i="1"/>
  <c r="AM250" i="1"/>
  <c r="AL250" i="1"/>
  <c r="BT249" i="1"/>
  <c r="AY249" i="1"/>
  <c r="AW249" i="1"/>
  <c r="AU249" i="1"/>
  <c r="AS249" i="1"/>
  <c r="AR249" i="1"/>
  <c r="AM249" i="1"/>
  <c r="AL249" i="1"/>
  <c r="CJ248" i="1"/>
  <c r="CH248" i="1"/>
  <c r="CF248" i="1" s="1"/>
  <c r="BZ248" i="1"/>
  <c r="BT248" i="1"/>
  <c r="BR248" i="1" s="1"/>
  <c r="BL248" i="1"/>
  <c r="BF248" i="1"/>
  <c r="BD248" i="1"/>
  <c r="AZ248" i="1"/>
  <c r="AY248" i="1"/>
  <c r="AW248" i="1"/>
  <c r="AT248" i="1"/>
  <c r="AS248" i="1"/>
  <c r="AR248" i="1"/>
  <c r="AP248" i="1"/>
  <c r="AO248" i="1"/>
  <c r="AK248" i="1"/>
  <c r="AL248" i="1" s="1"/>
  <c r="AH248" i="1"/>
  <c r="AE248" i="1"/>
  <c r="Z248" i="1"/>
  <c r="Q248" i="1"/>
  <c r="N248" i="1"/>
  <c r="K248" i="1"/>
  <c r="I248" i="1"/>
  <c r="H248" i="1" s="1"/>
  <c r="E248" i="1"/>
  <c r="CJ247" i="1"/>
  <c r="CH247" i="1" s="1"/>
  <c r="CF247" i="1" s="1"/>
  <c r="BZ247" i="1"/>
  <c r="BT247" i="1"/>
  <c r="BL247" i="1"/>
  <c r="BF247" i="1"/>
  <c r="BD247" i="1"/>
  <c r="AY247" i="1"/>
  <c r="AW247" i="1"/>
  <c r="AT247" i="1"/>
  <c r="AS247" i="1"/>
  <c r="AR247" i="1"/>
  <c r="AP247" i="1"/>
  <c r="AO247" i="1"/>
  <c r="AK247" i="1"/>
  <c r="AH247" i="1"/>
  <c r="AE247" i="1"/>
  <c r="Z247" i="1"/>
  <c r="Q247" i="1"/>
  <c r="N247" i="1"/>
  <c r="K247" i="1"/>
  <c r="I247" i="1"/>
  <c r="H247" i="1" s="1"/>
  <c r="E247" i="1"/>
  <c r="CJ246" i="1"/>
  <c r="CH246" i="1"/>
  <c r="CF246" i="1" s="1"/>
  <c r="BZ246" i="1"/>
  <c r="BT246" i="1"/>
  <c r="BR246" i="1"/>
  <c r="BL246" i="1"/>
  <c r="BF246" i="1"/>
  <c r="BD246" i="1"/>
  <c r="AZ246" i="1"/>
  <c r="AY246" i="1"/>
  <c r="AW246" i="1"/>
  <c r="AT246" i="1"/>
  <c r="AS246" i="1"/>
  <c r="AR246" i="1"/>
  <c r="AP246" i="1"/>
  <c r="AO246" i="1"/>
  <c r="AK246" i="1"/>
  <c r="AL246" i="1" s="1"/>
  <c r="AH246" i="1"/>
  <c r="AE246" i="1"/>
  <c r="Z246" i="1"/>
  <c r="Q246" i="1"/>
  <c r="N246" i="1"/>
  <c r="I246" i="1"/>
  <c r="H246" i="1" s="1"/>
  <c r="F246" i="1"/>
  <c r="E246" i="1"/>
  <c r="CJ245" i="1"/>
  <c r="CD245" i="1"/>
  <c r="CD244" i="1" s="1"/>
  <c r="CB245" i="1"/>
  <c r="CB244" i="1" s="1"/>
  <c r="CB243" i="1" s="1"/>
  <c r="BZ245" i="1"/>
  <c r="BZ244" i="1" s="1"/>
  <c r="BP245" i="1"/>
  <c r="BN245" i="1"/>
  <c r="BJ245" i="1"/>
  <c r="BJ243" i="1" s="1"/>
  <c r="BH245" i="1"/>
  <c r="BF245" i="1" s="1"/>
  <c r="AX245" i="1"/>
  <c r="AV245" i="1"/>
  <c r="AT245" i="1"/>
  <c r="AQ245" i="1"/>
  <c r="AN245" i="1"/>
  <c r="AJ245" i="1"/>
  <c r="AI245" i="1"/>
  <c r="AG245" i="1"/>
  <c r="AG244" i="1" s="1"/>
  <c r="AG243" i="1" s="1"/>
  <c r="AF245" i="1"/>
  <c r="AE245" i="1" s="1"/>
  <c r="AE244" i="1" s="1"/>
  <c r="AD245" i="1"/>
  <c r="AB245" i="1"/>
  <c r="AB244" i="1" s="1"/>
  <c r="AB243" i="1" s="1"/>
  <c r="X245" i="1"/>
  <c r="X244" i="1" s="1"/>
  <c r="V245" i="1"/>
  <c r="V244" i="1" s="1"/>
  <c r="V243" i="1" s="1"/>
  <c r="T245" i="1"/>
  <c r="T244" i="1" s="1"/>
  <c r="T243" i="1" s="1"/>
  <c r="S245" i="1"/>
  <c r="S244" i="1" s="1"/>
  <c r="S243" i="1" s="1"/>
  <c r="N245" i="1"/>
  <c r="N244" i="1" s="1"/>
  <c r="M245" i="1"/>
  <c r="M244" i="1" s="1"/>
  <c r="M243" i="1" s="1"/>
  <c r="L245" i="1"/>
  <c r="K245" i="1" s="1"/>
  <c r="K244" i="1" s="1"/>
  <c r="K243" i="1" s="1"/>
  <c r="I245" i="1"/>
  <c r="H245" i="1" s="1"/>
  <c r="G245" i="1"/>
  <c r="F245" i="1"/>
  <c r="E245" i="1" s="1"/>
  <c r="CE244" i="1"/>
  <c r="CC244" i="1"/>
  <c r="CA244" i="1"/>
  <c r="BY244" i="1"/>
  <c r="BP244" i="1"/>
  <c r="BN244" i="1"/>
  <c r="BN243" i="1" s="1"/>
  <c r="BL244" i="1"/>
  <c r="BH244" i="1"/>
  <c r="AV244" i="1"/>
  <c r="AT244" i="1"/>
  <c r="AN244" i="1"/>
  <c r="AO244" i="1" s="1"/>
  <c r="AI244" i="1"/>
  <c r="AF244" i="1"/>
  <c r="AF243" i="1" s="1"/>
  <c r="AC244" i="1"/>
  <c r="AA244" i="1"/>
  <c r="Y244" i="1"/>
  <c r="W244" i="1"/>
  <c r="U244" i="1"/>
  <c r="R244" i="1"/>
  <c r="R243" i="1" s="1"/>
  <c r="P244" i="1"/>
  <c r="P243" i="1" s="1"/>
  <c r="O244" i="1"/>
  <c r="O243" i="1" s="1"/>
  <c r="J244" i="1"/>
  <c r="J243" i="1" s="1"/>
  <c r="G244" i="1"/>
  <c r="E244" i="1" s="1"/>
  <c r="F244" i="1"/>
  <c r="CJ243" i="1"/>
  <c r="CH243" i="1" s="1"/>
  <c r="CF243" i="1" s="1"/>
  <c r="CD243" i="1"/>
  <c r="CE243" i="1" s="1"/>
  <c r="BY243" i="1"/>
  <c r="AX243" i="1"/>
  <c r="AV243" i="1"/>
  <c r="X243" i="1"/>
  <c r="AX241" i="1"/>
  <c r="BJ241" i="1" s="1"/>
  <c r="T241" i="1"/>
  <c r="S241" i="1"/>
  <c r="S240" i="1" s="1"/>
  <c r="K241" i="1"/>
  <c r="K240" i="1" s="1"/>
  <c r="X240" i="1"/>
  <c r="M240" i="1"/>
  <c r="L240" i="1"/>
  <c r="BV239" i="1"/>
  <c r="BP239" i="1"/>
  <c r="BL239" i="1" s="1"/>
  <c r="BF239" i="1"/>
  <c r="AT239" i="1"/>
  <c r="AQ239" i="1"/>
  <c r="T239" i="1"/>
  <c r="S239" i="1"/>
  <c r="K239" i="1"/>
  <c r="BV238" i="1"/>
  <c r="BV237" i="1" s="1"/>
  <c r="BP238" i="1"/>
  <c r="BL238" i="1" s="1"/>
  <c r="BF238" i="1"/>
  <c r="BD238" i="1"/>
  <c r="BE238" i="1" s="1"/>
  <c r="AY238" i="1"/>
  <c r="AT238" i="1"/>
  <c r="AQ238" i="1"/>
  <c r="AS238" i="1" s="1"/>
  <c r="AD238" i="1"/>
  <c r="Y238" i="1"/>
  <c r="T238" i="1"/>
  <c r="Q238" i="1"/>
  <c r="P238" i="1"/>
  <c r="N238" i="1" s="1"/>
  <c r="K238" i="1"/>
  <c r="BL237" i="1"/>
  <c r="BJ237" i="1"/>
  <c r="AX237" i="1"/>
  <c r="AQ237" i="1" s="1"/>
  <c r="X237" i="1"/>
  <c r="T237" i="1" s="1"/>
  <c r="M237" i="1"/>
  <c r="L237" i="1"/>
  <c r="BL236" i="1"/>
  <c r="R236" i="1"/>
  <c r="O236" i="1"/>
  <c r="BJ235" i="1"/>
  <c r="BV235" i="1" s="1"/>
  <c r="BF235" i="1"/>
  <c r="BP235" i="1"/>
  <c r="BQ235" i="1" s="1"/>
  <c r="AT235" i="1"/>
  <c r="AQ235" i="1"/>
  <c r="X235" i="1"/>
  <c r="T235" i="1"/>
  <c r="S235" i="1"/>
  <c r="S233" i="1" s="1"/>
  <c r="K235" i="1"/>
  <c r="BJ234" i="1"/>
  <c r="BK234" i="1" s="1"/>
  <c r="AY234" i="1"/>
  <c r="AQ234" i="1"/>
  <c r="AS234" i="1" s="1"/>
  <c r="X234" i="1"/>
  <c r="Y234" i="1" s="1"/>
  <c r="Q234" i="1"/>
  <c r="P234" i="1"/>
  <c r="N234" i="1" s="1"/>
  <c r="K234" i="1"/>
  <c r="M233" i="1"/>
  <c r="L233" i="1"/>
  <c r="BJ232" i="1"/>
  <c r="BV232" i="1" s="1"/>
  <c r="BW232" i="1" s="1"/>
  <c r="BF232" i="1"/>
  <c r="T232" i="1"/>
  <c r="AP232" i="1" s="1"/>
  <c r="S232" i="1"/>
  <c r="Y232" i="1" s="1"/>
  <c r="K232" i="1"/>
  <c r="BS232" i="1" s="1"/>
  <c r="BJ231" i="1"/>
  <c r="BV231" i="1" s="1"/>
  <c r="BF231" i="1"/>
  <c r="AX231" i="1"/>
  <c r="BP231" i="1" s="1"/>
  <c r="BL231" i="1" s="1"/>
  <c r="AD231" i="1"/>
  <c r="Z231" i="1" s="1"/>
  <c r="Y231" i="1"/>
  <c r="T231" i="1"/>
  <c r="AP231" i="1" s="1"/>
  <c r="Q231" i="1"/>
  <c r="P231" i="1"/>
  <c r="N231" i="1" s="1"/>
  <c r="K231" i="1"/>
  <c r="BL230" i="1"/>
  <c r="X230" i="1"/>
  <c r="M230" i="1"/>
  <c r="L230" i="1"/>
  <c r="BW229" i="1"/>
  <c r="BQ229" i="1"/>
  <c r="BL229" i="1"/>
  <c r="AT229" i="1"/>
  <c r="AQ229" i="1"/>
  <c r="T229" i="1"/>
  <c r="AP229" i="1" s="1"/>
  <c r="S229" i="1"/>
  <c r="Q229" i="1" s="1"/>
  <c r="K229" i="1"/>
  <c r="BS229" i="1" s="1"/>
  <c r="BW228" i="1"/>
  <c r="BQ228" i="1"/>
  <c r="BL228" i="1"/>
  <c r="AT228" i="1"/>
  <c r="AQ228" i="1"/>
  <c r="T228" i="1"/>
  <c r="AP228" i="1" s="1"/>
  <c r="S228" i="1"/>
  <c r="AD228" i="1" s="1"/>
  <c r="Z228" i="1" s="1"/>
  <c r="K228" i="1"/>
  <c r="BS228" i="1" s="1"/>
  <c r="CG227" i="1"/>
  <c r="BL227" i="1"/>
  <c r="AX227" i="1"/>
  <c r="AQ227" i="1" s="1"/>
  <c r="X227" i="1"/>
  <c r="T227" i="1" s="1"/>
  <c r="AP227" i="1" s="1"/>
  <c r="M227" i="1"/>
  <c r="S227" i="1" s="1"/>
  <c r="Q227" i="1" s="1"/>
  <c r="L227" i="1"/>
  <c r="BL226" i="1"/>
  <c r="R226" i="1"/>
  <c r="O226" i="1"/>
  <c r="BW225" i="1"/>
  <c r="BS225" i="1"/>
  <c r="BQ225" i="1"/>
  <c r="BL225" i="1"/>
  <c r="BJ225" i="1"/>
  <c r="BF225" i="1" s="1"/>
  <c r="BD225" i="1"/>
  <c r="BE225" i="1" s="1"/>
  <c r="AT225" i="1"/>
  <c r="AQ225" i="1"/>
  <c r="AK225" i="1" s="1"/>
  <c r="BQ224" i="1"/>
  <c r="BL224" i="1"/>
  <c r="BK224" i="1"/>
  <c r="BJ224" i="1"/>
  <c r="BF224" i="1"/>
  <c r="BD224" i="1"/>
  <c r="AZ224" i="1" s="1"/>
  <c r="AY224" i="1"/>
  <c r="AT224" i="1"/>
  <c r="AQ224" i="1"/>
  <c r="AS224" i="1" s="1"/>
  <c r="Q224" i="1"/>
  <c r="M224" i="1"/>
  <c r="M223" i="1" s="1"/>
  <c r="BL223" i="1"/>
  <c r="BJ223" i="1"/>
  <c r="BF223" i="1" s="1"/>
  <c r="AX223" i="1"/>
  <c r="S223" i="1"/>
  <c r="Q223" i="1" s="1"/>
  <c r="BV222" i="1"/>
  <c r="BQ222" i="1"/>
  <c r="BL222" i="1"/>
  <c r="BF222" i="1"/>
  <c r="BD222" i="1"/>
  <c r="AZ222" i="1" s="1"/>
  <c r="AY222" i="1"/>
  <c r="AT222" i="1"/>
  <c r="AT221" i="1" s="1"/>
  <c r="AQ222" i="1"/>
  <c r="AS222" i="1" s="1"/>
  <c r="X222" i="1"/>
  <c r="Y222" i="1" s="1"/>
  <c r="Q222" i="1"/>
  <c r="P222" i="1"/>
  <c r="K222" i="1"/>
  <c r="BL221" i="1"/>
  <c r="BJ221" i="1"/>
  <c r="BF221" i="1" s="1"/>
  <c r="AX221" i="1"/>
  <c r="S221" i="1"/>
  <c r="M221" i="1"/>
  <c r="BQ220" i="1"/>
  <c r="BL220" i="1"/>
  <c r="BJ220" i="1"/>
  <c r="BV220" i="1" s="1"/>
  <c r="BF220" i="1"/>
  <c r="BG220" i="1" s="1"/>
  <c r="BD220" i="1"/>
  <c r="BE220" i="1" s="1"/>
  <c r="AT220" i="1"/>
  <c r="AQ220" i="1"/>
  <c r="AK220" i="1" s="1"/>
  <c r="AD220" i="1"/>
  <c r="Z220" i="1" s="1"/>
  <c r="Y220" i="1"/>
  <c r="T220" i="1"/>
  <c r="AP220" i="1" s="1"/>
  <c r="Q220" i="1"/>
  <c r="P220" i="1"/>
  <c r="N220" i="1" s="1"/>
  <c r="K220" i="1"/>
  <c r="BL219" i="1"/>
  <c r="BM219" i="1" s="1"/>
  <c r="AX219" i="1"/>
  <c r="BQ219" i="1" s="1"/>
  <c r="AT219" i="1"/>
  <c r="AQ219" i="1"/>
  <c r="X219" i="1"/>
  <c r="S219" i="1"/>
  <c r="Q219" i="1"/>
  <c r="M219" i="1"/>
  <c r="BD219" i="1" s="1"/>
  <c r="BP218" i="1"/>
  <c r="BL218" i="1" s="1"/>
  <c r="R218" i="1"/>
  <c r="O218" i="1"/>
  <c r="L218" i="1"/>
  <c r="CJ217" i="1"/>
  <c r="CJ213" i="1" s="1"/>
  <c r="CH217" i="1"/>
  <c r="CD217" i="1"/>
  <c r="AO217" i="1"/>
  <c r="AJ217" i="1"/>
  <c r="AH217" i="1"/>
  <c r="AH213" i="1" s="1"/>
  <c r="AG217" i="1"/>
  <c r="AE217" i="1" s="1"/>
  <c r="AE213" i="1" s="1"/>
  <c r="R217" i="1"/>
  <c r="L217" i="1"/>
  <c r="J217" i="1"/>
  <c r="H217" i="1"/>
  <c r="H213" i="1" s="1"/>
  <c r="G217" i="1"/>
  <c r="AX216" i="1"/>
  <c r="AX14" i="1" s="1"/>
  <c r="AT14" i="1" s="1"/>
  <c r="X216" i="1"/>
  <c r="O216" i="1"/>
  <c r="M216" i="1"/>
  <c r="S216" i="1" s="1"/>
  <c r="S14" i="1" s="1"/>
  <c r="Q14" i="1" s="1"/>
  <c r="R215" i="1"/>
  <c r="O215" i="1"/>
  <c r="CD213" i="1"/>
  <c r="CE213" i="1" s="1"/>
  <c r="AO213" i="1"/>
  <c r="AJ213" i="1"/>
  <c r="AG213" i="1"/>
  <c r="J213" i="1"/>
  <c r="BN210" i="1"/>
  <c r="BH210" i="1"/>
  <c r="R210" i="1"/>
  <c r="O210" i="1"/>
  <c r="L210" i="1"/>
  <c r="I210" i="1"/>
  <c r="I277" i="1" s="1"/>
  <c r="F210" i="1"/>
  <c r="F277" i="1" s="1"/>
  <c r="CG209" i="1"/>
  <c r="CJ208" i="1"/>
  <c r="CH208" i="1"/>
  <c r="CE208" i="1"/>
  <c r="CE274" i="1" s="1"/>
  <c r="CD208" i="1"/>
  <c r="CD274" i="1" s="1"/>
  <c r="BJ208" i="1"/>
  <c r="BH208" i="1"/>
  <c r="AX208" i="1"/>
  <c r="AQ208" i="1"/>
  <c r="AJ208" i="1"/>
  <c r="AJ274" i="1" s="1"/>
  <c r="AG208" i="1"/>
  <c r="AG274" i="1" s="1"/>
  <c r="AF208" i="1"/>
  <c r="AF274" i="1" s="1"/>
  <c r="AE208" i="1"/>
  <c r="AD208" i="1"/>
  <c r="X208" i="1"/>
  <c r="S208" i="1"/>
  <c r="P208" i="1"/>
  <c r="M208" i="1"/>
  <c r="BV206" i="1"/>
  <c r="BT205" i="1"/>
  <c r="BR205" i="1"/>
  <c r="BF205" i="1"/>
  <c r="BG205" i="1" s="1"/>
  <c r="BB205" i="1"/>
  <c r="AW205" i="1"/>
  <c r="AU205" i="1"/>
  <c r="AT205" i="1"/>
  <c r="K205" i="1"/>
  <c r="BT204" i="1"/>
  <c r="BI204" i="1"/>
  <c r="BF204" i="1"/>
  <c r="BB204" i="1"/>
  <c r="AV204" i="1"/>
  <c r="BN204" i="1" s="1"/>
  <c r="BO204" i="1" s="1"/>
  <c r="AT204" i="1"/>
  <c r="AR204" i="1"/>
  <c r="R204" i="1"/>
  <c r="K204" i="1"/>
  <c r="CJ203" i="1"/>
  <c r="CE203" i="1"/>
  <c r="BZ203" i="1"/>
  <c r="BY203" i="1"/>
  <c r="BH203" i="1"/>
  <c r="BB203" i="1"/>
  <c r="AZ203" i="1" s="1"/>
  <c r="BA203" i="1"/>
  <c r="AW203" i="1"/>
  <c r="AV203" i="1"/>
  <c r="AT203" i="1" s="1"/>
  <c r="AU203" i="1"/>
  <c r="AR203" i="1"/>
  <c r="AP203" i="1"/>
  <c r="AO203" i="1"/>
  <c r="AK203" i="1"/>
  <c r="AH203" i="1"/>
  <c r="AH201" i="1" s="1"/>
  <c r="AE203" i="1"/>
  <c r="AB203" i="1"/>
  <c r="V203" i="1"/>
  <c r="T203" i="1" s="1"/>
  <c r="Q203" i="1"/>
  <c r="U203" i="1" s="1"/>
  <c r="O203" i="1"/>
  <c r="N203" i="1"/>
  <c r="K203" i="1"/>
  <c r="BU202" i="1"/>
  <c r="BT202" i="1"/>
  <c r="BR202" i="1" s="1"/>
  <c r="BN202" i="1"/>
  <c r="BF202" i="1"/>
  <c r="BG202" i="1" s="1"/>
  <c r="AW202" i="1"/>
  <c r="AV202" i="1"/>
  <c r="BI202" i="1" s="1"/>
  <c r="AT202" i="1"/>
  <c r="BM202" i="1" s="1"/>
  <c r="AP202" i="1"/>
  <c r="AK202" i="1"/>
  <c r="AM202" i="1" s="1"/>
  <c r="Q202" i="1"/>
  <c r="K202" i="1"/>
  <c r="BS202" i="1" s="1"/>
  <c r="CE201" i="1"/>
  <c r="CD201" i="1"/>
  <c r="CC201" i="1"/>
  <c r="CB201" i="1"/>
  <c r="BP201" i="1"/>
  <c r="BJ201" i="1"/>
  <c r="AV201" i="1"/>
  <c r="AQ201" i="1"/>
  <c r="AR201" i="1" s="1"/>
  <c r="AJ201" i="1"/>
  <c r="AI201" i="1"/>
  <c r="AG201" i="1"/>
  <c r="AF201" i="1"/>
  <c r="AE201" i="1"/>
  <c r="AD201" i="1"/>
  <c r="BY201" i="1" s="1"/>
  <c r="X201" i="1"/>
  <c r="V201" i="1"/>
  <c r="P201" i="1"/>
  <c r="M201" i="1"/>
  <c r="L201" i="1"/>
  <c r="K201" i="1" s="1"/>
  <c r="J201" i="1"/>
  <c r="I201" i="1"/>
  <c r="H201" i="1"/>
  <c r="G201" i="1"/>
  <c r="F201" i="1"/>
  <c r="E201" i="1"/>
  <c r="BU200" i="1"/>
  <c r="BT200" i="1"/>
  <c r="BR200" i="1"/>
  <c r="BS200" i="1" s="1"/>
  <c r="BO200" i="1"/>
  <c r="BN200" i="1"/>
  <c r="BM200" i="1"/>
  <c r="BI200" i="1"/>
  <c r="BG200" i="1"/>
  <c r="BB200" i="1"/>
  <c r="BC200" i="1" s="1"/>
  <c r="AZ200" i="1"/>
  <c r="BA200" i="1" s="1"/>
  <c r="AW200" i="1"/>
  <c r="K200" i="1"/>
  <c r="AU200" i="1" s="1"/>
  <c r="BH199" i="1"/>
  <c r="BI199" i="1" s="1"/>
  <c r="BB199" i="1"/>
  <c r="AW199" i="1"/>
  <c r="AT199" i="1"/>
  <c r="AP199" i="1"/>
  <c r="AK199" i="1"/>
  <c r="Q199" i="1"/>
  <c r="O199" i="1"/>
  <c r="N199" i="1"/>
  <c r="K199" i="1"/>
  <c r="J199" i="1"/>
  <c r="BS198" i="1"/>
  <c r="BR198" i="1"/>
  <c r="BH198" i="1"/>
  <c r="BF198" i="1"/>
  <c r="AP198" i="1"/>
  <c r="AK198" i="1"/>
  <c r="Q198" i="1"/>
  <c r="O198" i="1"/>
  <c r="N198" i="1" s="1"/>
  <c r="L198" i="1"/>
  <c r="BT198" i="1" s="1"/>
  <c r="BU198" i="1" s="1"/>
  <c r="K198" i="1"/>
  <c r="J198" i="1"/>
  <c r="BT197" i="1"/>
  <c r="BU197" i="1" s="1"/>
  <c r="BR197" i="1"/>
  <c r="BS197" i="1" s="1"/>
  <c r="BN197" i="1"/>
  <c r="BO197" i="1" s="1"/>
  <c r="BM197" i="1"/>
  <c r="BL197" i="1"/>
  <c r="BI197" i="1"/>
  <c r="BF197" i="1"/>
  <c r="BG197" i="1" s="1"/>
  <c r="BC197" i="1"/>
  <c r="BB197" i="1"/>
  <c r="AZ197" i="1"/>
  <c r="BA197" i="1" s="1"/>
  <c r="AW197" i="1"/>
  <c r="AT197" i="1"/>
  <c r="AU197" i="1" s="1"/>
  <c r="AP197" i="1"/>
  <c r="AM197" i="1"/>
  <c r="AK197" i="1"/>
  <c r="Q197" i="1"/>
  <c r="O197" i="1"/>
  <c r="N197" i="1"/>
  <c r="K197" i="1"/>
  <c r="J197" i="1"/>
  <c r="BY196" i="1"/>
  <c r="BI196" i="1"/>
  <c r="BF196" i="1"/>
  <c r="AX196" i="1"/>
  <c r="AV196" i="1"/>
  <c r="BN196" i="1" s="1"/>
  <c r="BL196" i="1" s="1"/>
  <c r="AR196" i="1"/>
  <c r="AP196" i="1"/>
  <c r="AO196" i="1"/>
  <c r="AM196" i="1"/>
  <c r="AK196" i="1"/>
  <c r="AL196" i="1" s="1"/>
  <c r="AC196" i="1"/>
  <c r="AB196" i="1"/>
  <c r="Z196" i="1" s="1"/>
  <c r="AA196" i="1" s="1"/>
  <c r="W196" i="1"/>
  <c r="U196" i="1"/>
  <c r="T196" i="1"/>
  <c r="Q196" i="1"/>
  <c r="O196" i="1"/>
  <c r="N196" i="1"/>
  <c r="L196" i="1"/>
  <c r="BT196" i="1" s="1"/>
  <c r="BU196" i="1" s="1"/>
  <c r="K196" i="1"/>
  <c r="J196" i="1"/>
  <c r="I196" i="1"/>
  <c r="H196" i="1" s="1"/>
  <c r="E196" i="1"/>
  <c r="BY195" i="1"/>
  <c r="BF195" i="1"/>
  <c r="AR195" i="1"/>
  <c r="AO195" i="1"/>
  <c r="AL195" i="1"/>
  <c r="AK195" i="1"/>
  <c r="AB195" i="1"/>
  <c r="W195" i="1"/>
  <c r="T195" i="1"/>
  <c r="U195" i="1" s="1"/>
  <c r="Q195" i="1"/>
  <c r="L195" i="1"/>
  <c r="J195" i="1"/>
  <c r="I195" i="1"/>
  <c r="H195" i="1" s="1"/>
  <c r="E195" i="1"/>
  <c r="BY194" i="1"/>
  <c r="BU194" i="1"/>
  <c r="BT194" i="1"/>
  <c r="BR194" i="1" s="1"/>
  <c r="BN194" i="1"/>
  <c r="BL194" i="1" s="1"/>
  <c r="BI194" i="1"/>
  <c r="BF194" i="1"/>
  <c r="BB194" i="1"/>
  <c r="AW194" i="1"/>
  <c r="AV194" i="1"/>
  <c r="AR194" i="1"/>
  <c r="AP194" i="1"/>
  <c r="AN194" i="1"/>
  <c r="AO194" i="1" s="1"/>
  <c r="AB194" i="1"/>
  <c r="W194" i="1"/>
  <c r="T194" i="1"/>
  <c r="U194" i="1" s="1"/>
  <c r="Q194" i="1"/>
  <c r="O194" i="1"/>
  <c r="N194" i="1"/>
  <c r="K194" i="1"/>
  <c r="J194" i="1"/>
  <c r="I194" i="1"/>
  <c r="H194" i="1"/>
  <c r="E194" i="1"/>
  <c r="BY193" i="1"/>
  <c r="BH193" i="1"/>
  <c r="AR193" i="1"/>
  <c r="AO193" i="1"/>
  <c r="AL193" i="1"/>
  <c r="AK193" i="1"/>
  <c r="AB193" i="1"/>
  <c r="W193" i="1"/>
  <c r="U193" i="1"/>
  <c r="T193" i="1"/>
  <c r="Q193" i="1"/>
  <c r="L193" i="1"/>
  <c r="J193" i="1"/>
  <c r="E193" i="1"/>
  <c r="CJ192" i="1"/>
  <c r="CH192" i="1"/>
  <c r="CA192" i="1"/>
  <c r="BZ192" i="1"/>
  <c r="BY192" i="1"/>
  <c r="BT192" i="1"/>
  <c r="BO192" i="1"/>
  <c r="BN192" i="1"/>
  <c r="BL192" i="1" s="1"/>
  <c r="BI192" i="1"/>
  <c r="BF192" i="1"/>
  <c r="BB192" i="1"/>
  <c r="BC192" i="1" s="1"/>
  <c r="AW192" i="1"/>
  <c r="AV192" i="1"/>
  <c r="AR192" i="1"/>
  <c r="AP192" i="1"/>
  <c r="AO192" i="1"/>
  <c r="AM192" i="1"/>
  <c r="AL192" i="1"/>
  <c r="AK192" i="1"/>
  <c r="AH192" i="1"/>
  <c r="AE192" i="1"/>
  <c r="AC192" i="1"/>
  <c r="AB192" i="1"/>
  <c r="Z192" i="1"/>
  <c r="W192" i="1"/>
  <c r="T192" i="1"/>
  <c r="U192" i="1" s="1"/>
  <c r="Q192" i="1"/>
  <c r="O192" i="1"/>
  <c r="N192" i="1" s="1"/>
  <c r="K192" i="1"/>
  <c r="J192" i="1"/>
  <c r="I192" i="1"/>
  <c r="E192" i="1"/>
  <c r="CJ191" i="1"/>
  <c r="CH191" i="1"/>
  <c r="BZ191" i="1"/>
  <c r="BY191" i="1"/>
  <c r="BR191" i="1"/>
  <c r="BS191" i="1" s="1"/>
  <c r="BI191" i="1"/>
  <c r="BH191" i="1"/>
  <c r="BT191" i="1" s="1"/>
  <c r="BU191" i="1" s="1"/>
  <c r="BF191" i="1"/>
  <c r="BB191" i="1"/>
  <c r="BC191" i="1" s="1"/>
  <c r="AW191" i="1"/>
  <c r="AR191" i="1"/>
  <c r="AP191" i="1"/>
  <c r="AO191" i="1"/>
  <c r="AM191" i="1"/>
  <c r="AK191" i="1"/>
  <c r="AL191" i="1" s="1"/>
  <c r="AH191" i="1"/>
  <c r="AE191" i="1"/>
  <c r="AB191" i="1"/>
  <c r="AC191" i="1" s="1"/>
  <c r="Z191" i="1"/>
  <c r="W191" i="1"/>
  <c r="T191" i="1"/>
  <c r="U191" i="1" s="1"/>
  <c r="Q191" i="1"/>
  <c r="AA191" i="1" s="1"/>
  <c r="O191" i="1"/>
  <c r="N191" i="1"/>
  <c r="K191" i="1"/>
  <c r="J191" i="1"/>
  <c r="I191" i="1"/>
  <c r="E191" i="1"/>
  <c r="CJ190" i="1"/>
  <c r="CH190" i="1" s="1"/>
  <c r="CE190" i="1"/>
  <c r="BZ190" i="1"/>
  <c r="BY190" i="1"/>
  <c r="BT190" i="1"/>
  <c r="BH190" i="1"/>
  <c r="BB190" i="1"/>
  <c r="AW190" i="1"/>
  <c r="AR190" i="1"/>
  <c r="AP190" i="1"/>
  <c r="AO190" i="1"/>
  <c r="AK190" i="1"/>
  <c r="AL190" i="1" s="1"/>
  <c r="AH190" i="1"/>
  <c r="AE190" i="1"/>
  <c r="AB190" i="1"/>
  <c r="AC190" i="1" s="1"/>
  <c r="W190" i="1"/>
  <c r="U190" i="1"/>
  <c r="T190" i="1"/>
  <c r="Q190" i="1"/>
  <c r="O190" i="1"/>
  <c r="N190" i="1"/>
  <c r="K190" i="1"/>
  <c r="J190" i="1"/>
  <c r="I190" i="1"/>
  <c r="H190" i="1"/>
  <c r="E190" i="1"/>
  <c r="CJ189" i="1"/>
  <c r="CH189" i="1"/>
  <c r="CE189" i="1"/>
  <c r="CD189" i="1"/>
  <c r="CB189" i="1"/>
  <c r="CB188" i="1" s="1"/>
  <c r="BZ189" i="1"/>
  <c r="BP189" i="1"/>
  <c r="BJ189" i="1"/>
  <c r="BJ188" i="1" s="1"/>
  <c r="AQ189" i="1"/>
  <c r="AN189" i="1"/>
  <c r="AO189" i="1" s="1"/>
  <c r="AJ189" i="1"/>
  <c r="AI189" i="1"/>
  <c r="AH189" i="1"/>
  <c r="AG189" i="1"/>
  <c r="AF189" i="1"/>
  <c r="AE189" i="1"/>
  <c r="AD189" i="1"/>
  <c r="X189" i="1"/>
  <c r="V189" i="1"/>
  <c r="S189" i="1"/>
  <c r="R189" i="1"/>
  <c r="P189" i="1"/>
  <c r="M189" i="1"/>
  <c r="M188" i="1" s="1"/>
  <c r="G189" i="1"/>
  <c r="F189" i="1"/>
  <c r="CJ188" i="1"/>
  <c r="CH188" i="1"/>
  <c r="CE188" i="1"/>
  <c r="CD188" i="1"/>
  <c r="BZ188" i="1"/>
  <c r="BP188" i="1"/>
  <c r="AJ188" i="1"/>
  <c r="AG188" i="1"/>
  <c r="AF188" i="1"/>
  <c r="X188" i="1"/>
  <c r="S188" i="1"/>
  <c r="P188" i="1"/>
  <c r="G188" i="1"/>
  <c r="BY187" i="1"/>
  <c r="BU187" i="1"/>
  <c r="BR187" i="1"/>
  <c r="BS187" i="1" s="1"/>
  <c r="BP187" i="1"/>
  <c r="BN187" i="1"/>
  <c r="BT187" i="1" s="1"/>
  <c r="BM187" i="1"/>
  <c r="BI187" i="1"/>
  <c r="BD187" i="1"/>
  <c r="BC187" i="1"/>
  <c r="BB187" i="1"/>
  <c r="AZ187" i="1"/>
  <c r="BA187" i="1" s="1"/>
  <c r="AW187" i="1"/>
  <c r="AT187" i="1"/>
  <c r="BG187" i="1" s="1"/>
  <c r="AR187" i="1"/>
  <c r="AP187" i="1"/>
  <c r="AO187" i="1"/>
  <c r="AK187" i="1"/>
  <c r="AH187" i="1"/>
  <c r="AC187" i="1"/>
  <c r="AA187" i="1"/>
  <c r="W187" i="1"/>
  <c r="U187" i="1"/>
  <c r="K187" i="1"/>
  <c r="I187" i="1"/>
  <c r="H187" i="1"/>
  <c r="E187" i="1"/>
  <c r="BY186" i="1"/>
  <c r="BT186" i="1"/>
  <c r="BP186" i="1"/>
  <c r="BP185" i="1" s="1"/>
  <c r="BP184" i="1" s="1"/>
  <c r="BV184" i="1" s="1"/>
  <c r="BO186" i="1"/>
  <c r="BN186" i="1"/>
  <c r="BM186" i="1"/>
  <c r="BI186" i="1"/>
  <c r="BG186" i="1"/>
  <c r="BD186" i="1"/>
  <c r="BE186" i="1" s="1"/>
  <c r="BB186" i="1"/>
  <c r="AZ186" i="1" s="1"/>
  <c r="BA186" i="1" s="1"/>
  <c r="AW186" i="1"/>
  <c r="AU186" i="1"/>
  <c r="AT186" i="1"/>
  <c r="AR186" i="1"/>
  <c r="AP186" i="1"/>
  <c r="AO186" i="1"/>
  <c r="AK186" i="1"/>
  <c r="AH186" i="1"/>
  <c r="AC186" i="1"/>
  <c r="AA186" i="1"/>
  <c r="W186" i="1"/>
  <c r="U186" i="1"/>
  <c r="T186" i="1"/>
  <c r="K186" i="1"/>
  <c r="I186" i="1"/>
  <c r="I185" i="1" s="1"/>
  <c r="H186" i="1"/>
  <c r="E186" i="1"/>
  <c r="BY185" i="1"/>
  <c r="BO185" i="1"/>
  <c r="BN185" i="1"/>
  <c r="BI185" i="1"/>
  <c r="BC185" i="1"/>
  <c r="BA185" i="1"/>
  <c r="AT185" i="1"/>
  <c r="AR185" i="1"/>
  <c r="AM185" i="1"/>
  <c r="AK185" i="1"/>
  <c r="AJ185" i="1"/>
  <c r="AI185" i="1"/>
  <c r="AO185" i="1" s="1"/>
  <c r="AH185" i="1"/>
  <c r="AL185" i="1" s="1"/>
  <c r="T185" i="1"/>
  <c r="U185" i="1" s="1"/>
  <c r="R185" i="1"/>
  <c r="L185" i="1"/>
  <c r="AW185" i="1" s="1"/>
  <c r="K185" i="1"/>
  <c r="H185" i="1"/>
  <c r="G185" i="1"/>
  <c r="F185" i="1"/>
  <c r="E185" i="1"/>
  <c r="BY184" i="1"/>
  <c r="BN184" i="1"/>
  <c r="BI184" i="1"/>
  <c r="BF184" i="1"/>
  <c r="BD184" i="1"/>
  <c r="BB184" i="1"/>
  <c r="AW184" i="1"/>
  <c r="AT184" i="1"/>
  <c r="BM184" i="1" s="1"/>
  <c r="AR184" i="1"/>
  <c r="AP184" i="1"/>
  <c r="AO184" i="1"/>
  <c r="AM184" i="1"/>
  <c r="AK184" i="1"/>
  <c r="AL184" i="1" s="1"/>
  <c r="AB184" i="1"/>
  <c r="W184" i="1"/>
  <c r="U184" i="1"/>
  <c r="T184" i="1"/>
  <c r="Q184" i="1"/>
  <c r="O184" i="1"/>
  <c r="N184" i="1" s="1"/>
  <c r="L184" i="1"/>
  <c r="K184" i="1"/>
  <c r="I184" i="1"/>
  <c r="E184" i="1"/>
  <c r="BY183" i="1"/>
  <c r="BV183" i="1"/>
  <c r="BP183" i="1"/>
  <c r="BP182" i="1" s="1"/>
  <c r="BP181" i="1" s="1"/>
  <c r="BN183" i="1"/>
  <c r="BT183" i="1" s="1"/>
  <c r="BM183" i="1"/>
  <c r="BI183" i="1"/>
  <c r="BF183" i="1"/>
  <c r="BG183" i="1" s="1"/>
  <c r="BD183" i="1"/>
  <c r="BC183" i="1"/>
  <c r="BB183" i="1"/>
  <c r="AZ183" i="1"/>
  <c r="AW183" i="1"/>
  <c r="AT183" i="1"/>
  <c r="AR183" i="1"/>
  <c r="AP183" i="1"/>
  <c r="AO183" i="1"/>
  <c r="AK183" i="1"/>
  <c r="AL183" i="1" s="1"/>
  <c r="AB183" i="1"/>
  <c r="AC183" i="1" s="1"/>
  <c r="Z183" i="1"/>
  <c r="W183" i="1"/>
  <c r="T183" i="1"/>
  <c r="Q183" i="1"/>
  <c r="AA183" i="1" s="1"/>
  <c r="O183" i="1"/>
  <c r="N183" i="1"/>
  <c r="K183" i="1"/>
  <c r="I183" i="1"/>
  <c r="H183" i="1" s="1"/>
  <c r="E183" i="1"/>
  <c r="BY182" i="1"/>
  <c r="BV182" i="1"/>
  <c r="BN182" i="1"/>
  <c r="BO182" i="1" s="1"/>
  <c r="BM182" i="1"/>
  <c r="BF182" i="1"/>
  <c r="BG182" i="1" s="1"/>
  <c r="BD182" i="1"/>
  <c r="AV182" i="1"/>
  <c r="BI182" i="1" s="1"/>
  <c r="AT182" i="1"/>
  <c r="AR182" i="1"/>
  <c r="AO182" i="1"/>
  <c r="AN182" i="1"/>
  <c r="AK182" i="1"/>
  <c r="V182" i="1"/>
  <c r="T182" i="1"/>
  <c r="R182" i="1"/>
  <c r="L182" i="1"/>
  <c r="F182" i="1"/>
  <c r="E182" i="1" s="1"/>
  <c r="CJ181" i="1"/>
  <c r="CH181" i="1"/>
  <c r="BZ181" i="1"/>
  <c r="BY181" i="1"/>
  <c r="BT181" i="1"/>
  <c r="BN181" i="1"/>
  <c r="BO181" i="1" s="1"/>
  <c r="BJ181" i="1"/>
  <c r="BI181" i="1"/>
  <c r="BD181" i="1"/>
  <c r="AZ181" i="1" s="1"/>
  <c r="BC181" i="1"/>
  <c r="BB181" i="1"/>
  <c r="AW181" i="1"/>
  <c r="AT181" i="1"/>
  <c r="AU181" i="1" s="1"/>
  <c r="AR181" i="1"/>
  <c r="AP181" i="1"/>
  <c r="AO181" i="1"/>
  <c r="AL181" i="1"/>
  <c r="AK181" i="1"/>
  <c r="AH181" i="1"/>
  <c r="AE181" i="1"/>
  <c r="AC181" i="1"/>
  <c r="AB181" i="1"/>
  <c r="Z181" i="1" s="1"/>
  <c r="AA181" i="1" s="1"/>
  <c r="W181" i="1"/>
  <c r="U181" i="1"/>
  <c r="T181" i="1"/>
  <c r="Q181" i="1"/>
  <c r="Q179" i="1" s="1"/>
  <c r="O181" i="1"/>
  <c r="N181" i="1"/>
  <c r="K181" i="1"/>
  <c r="J181" i="1"/>
  <c r="I181" i="1"/>
  <c r="H181" i="1"/>
  <c r="E181" i="1"/>
  <c r="CJ180" i="1"/>
  <c r="CH180" i="1"/>
  <c r="BZ180" i="1"/>
  <c r="BY180" i="1"/>
  <c r="BT180" i="1"/>
  <c r="BT179" i="1" s="1"/>
  <c r="BR180" i="1"/>
  <c r="BP180" i="1"/>
  <c r="BP179" i="1" s="1"/>
  <c r="BI180" i="1"/>
  <c r="BD180" i="1"/>
  <c r="BC180" i="1"/>
  <c r="BB180" i="1"/>
  <c r="AZ180" i="1" s="1"/>
  <c r="BA180" i="1" s="1"/>
  <c r="AV180" i="1"/>
  <c r="AV179" i="1" s="1"/>
  <c r="AT180" i="1"/>
  <c r="AR180" i="1"/>
  <c r="AO180" i="1"/>
  <c r="AK180" i="1"/>
  <c r="AL180" i="1" s="1"/>
  <c r="AH180" i="1"/>
  <c r="AE180" i="1"/>
  <c r="AB180" i="1"/>
  <c r="Z180" i="1" s="1"/>
  <c r="AA180" i="1" s="1"/>
  <c r="W180" i="1"/>
  <c r="U180" i="1"/>
  <c r="T180" i="1"/>
  <c r="Q180" i="1"/>
  <c r="O180" i="1"/>
  <c r="N180" i="1"/>
  <c r="L180" i="1"/>
  <c r="BN180" i="1" s="1"/>
  <c r="K180" i="1"/>
  <c r="J180" i="1"/>
  <c r="I180" i="1"/>
  <c r="H180" i="1" s="1"/>
  <c r="E180" i="1"/>
  <c r="CJ179" i="1"/>
  <c r="CH179" i="1"/>
  <c r="CB179" i="1"/>
  <c r="BZ179" i="1"/>
  <c r="BY179" i="1"/>
  <c r="BU179" i="1"/>
  <c r="BR179" i="1"/>
  <c r="BS179" i="1" s="1"/>
  <c r="BH179" i="1"/>
  <c r="BI179" i="1" s="1"/>
  <c r="BD179" i="1"/>
  <c r="BB179" i="1"/>
  <c r="BC179" i="1" s="1"/>
  <c r="AX179" i="1"/>
  <c r="AW179" i="1"/>
  <c r="AT179" i="1"/>
  <c r="AU179" i="1" s="1"/>
  <c r="AR179" i="1"/>
  <c r="AN179" i="1"/>
  <c r="AI179" i="1"/>
  <c r="AH179" i="1"/>
  <c r="AF179" i="1"/>
  <c r="AE179" i="1"/>
  <c r="AB179" i="1"/>
  <c r="Z179" i="1" s="1"/>
  <c r="AA179" i="1" s="1"/>
  <c r="X179" i="1"/>
  <c r="W179" i="1"/>
  <c r="V179" i="1"/>
  <c r="T179" i="1"/>
  <c r="U179" i="1" s="1"/>
  <c r="R179" i="1"/>
  <c r="P179" i="1"/>
  <c r="O179" i="1"/>
  <c r="N179" i="1"/>
  <c r="L179" i="1"/>
  <c r="K179" i="1"/>
  <c r="F179" i="1"/>
  <c r="E179" i="1"/>
  <c r="CJ178" i="1"/>
  <c r="CH178" i="1"/>
  <c r="CE178" i="1"/>
  <c r="BZ178" i="1"/>
  <c r="CA178" i="1" s="1"/>
  <c r="BY178" i="1"/>
  <c r="BT178" i="1"/>
  <c r="BR178" i="1" s="1"/>
  <c r="BS178" i="1" s="1"/>
  <c r="BP178" i="1"/>
  <c r="BO178" i="1"/>
  <c r="BN178" i="1"/>
  <c r="BI178" i="1"/>
  <c r="BD178" i="1"/>
  <c r="AZ178" i="1" s="1"/>
  <c r="BA178" i="1" s="1"/>
  <c r="BB178" i="1"/>
  <c r="BC178" i="1" s="1"/>
  <c r="AW178" i="1"/>
  <c r="AT178" i="1"/>
  <c r="AR178" i="1"/>
  <c r="AP178" i="1"/>
  <c r="AO178" i="1"/>
  <c r="AM178" i="1"/>
  <c r="AL178" i="1"/>
  <c r="AK178" i="1"/>
  <c r="AH178" i="1"/>
  <c r="AE178" i="1"/>
  <c r="AE169" i="1" s="1"/>
  <c r="AC178" i="1"/>
  <c r="AB178" i="1"/>
  <c r="Z178" i="1"/>
  <c r="AA178" i="1" s="1"/>
  <c r="W178" i="1"/>
  <c r="T178" i="1"/>
  <c r="U178" i="1" s="1"/>
  <c r="Q178" i="1"/>
  <c r="N178" i="1"/>
  <c r="K178" i="1"/>
  <c r="J178" i="1"/>
  <c r="I178" i="1"/>
  <c r="H178" i="1"/>
  <c r="E178" i="1"/>
  <c r="CJ177" i="1"/>
  <c r="CH177" i="1"/>
  <c r="CE177" i="1"/>
  <c r="BZ177" i="1"/>
  <c r="BY177" i="1"/>
  <c r="BN177" i="1"/>
  <c r="BI177" i="1"/>
  <c r="BD177" i="1"/>
  <c r="BC177" i="1"/>
  <c r="BB177" i="1"/>
  <c r="AW177" i="1"/>
  <c r="AT177" i="1"/>
  <c r="AR177" i="1"/>
  <c r="AP177" i="1"/>
  <c r="AO177" i="1"/>
  <c r="AL177" i="1"/>
  <c r="AK177" i="1"/>
  <c r="AH177" i="1"/>
  <c r="AE177" i="1"/>
  <c r="AC177" i="1"/>
  <c r="AB177" i="1"/>
  <c r="Z177" i="1" s="1"/>
  <c r="AA177" i="1" s="1"/>
  <c r="W177" i="1"/>
  <c r="U177" i="1"/>
  <c r="T177" i="1"/>
  <c r="Q177" i="1"/>
  <c r="N177" i="1"/>
  <c r="K177" i="1"/>
  <c r="J177" i="1"/>
  <c r="I177" i="1"/>
  <c r="H177" i="1"/>
  <c r="E177" i="1"/>
  <c r="CJ176" i="1"/>
  <c r="CH176" i="1"/>
  <c r="CD176" i="1"/>
  <c r="BZ176" i="1" s="1"/>
  <c r="CB176" i="1"/>
  <c r="BN176" i="1"/>
  <c r="BO176" i="1" s="1"/>
  <c r="BI176" i="1"/>
  <c r="AX176" i="1"/>
  <c r="AV176" i="1"/>
  <c r="AO176" i="1"/>
  <c r="AN176" i="1"/>
  <c r="AK176" i="1"/>
  <c r="AJ176" i="1"/>
  <c r="AI176" i="1"/>
  <c r="AG176" i="1"/>
  <c r="AF176" i="1"/>
  <c r="AE176" i="1" s="1"/>
  <c r="AD176" i="1"/>
  <c r="AC176" i="1"/>
  <c r="AB176" i="1"/>
  <c r="Z176" i="1" s="1"/>
  <c r="X176" i="1"/>
  <c r="W176" i="1"/>
  <c r="V176" i="1"/>
  <c r="T176" i="1"/>
  <c r="S176" i="1"/>
  <c r="R176" i="1"/>
  <c r="N176" i="1"/>
  <c r="L176" i="1"/>
  <c r="J176" i="1"/>
  <c r="H176" i="1" s="1"/>
  <c r="I176" i="1"/>
  <c r="G176" i="1"/>
  <c r="F176" i="1"/>
  <c r="E176" i="1" s="1"/>
  <c r="CJ175" i="1"/>
  <c r="CH175" i="1" s="1"/>
  <c r="CE175" i="1"/>
  <c r="CA175" i="1"/>
  <c r="BZ175" i="1"/>
  <c r="BY175" i="1"/>
  <c r="BU175" i="1"/>
  <c r="BT175" i="1"/>
  <c r="BR175" i="1"/>
  <c r="BS175" i="1" s="1"/>
  <c r="BO175" i="1"/>
  <c r="BN175" i="1"/>
  <c r="BI175" i="1"/>
  <c r="BC175" i="1"/>
  <c r="BB175" i="1"/>
  <c r="AZ175" i="1"/>
  <c r="AW175" i="1"/>
  <c r="AT175" i="1"/>
  <c r="AU175" i="1" s="1"/>
  <c r="AR175" i="1"/>
  <c r="AP175" i="1"/>
  <c r="AO175" i="1"/>
  <c r="AK175" i="1"/>
  <c r="AH175" i="1"/>
  <c r="AE175" i="1"/>
  <c r="AB175" i="1"/>
  <c r="W175" i="1"/>
  <c r="T175" i="1"/>
  <c r="Q175" i="1"/>
  <c r="U175" i="1" s="1"/>
  <c r="O175" i="1"/>
  <c r="N175" i="1"/>
  <c r="K175" i="1"/>
  <c r="J175" i="1"/>
  <c r="I175" i="1"/>
  <c r="E175" i="1"/>
  <c r="CJ174" i="1"/>
  <c r="CH174" i="1"/>
  <c r="BZ174" i="1"/>
  <c r="BY174" i="1"/>
  <c r="BH174" i="1"/>
  <c r="BT174" i="1" s="1"/>
  <c r="BF174" i="1"/>
  <c r="BG174" i="1" s="1"/>
  <c r="BD174" i="1"/>
  <c r="BC174" i="1"/>
  <c r="BB174" i="1"/>
  <c r="BA174" i="1"/>
  <c r="AZ174" i="1"/>
  <c r="AW174" i="1"/>
  <c r="AT174" i="1"/>
  <c r="AU174" i="1" s="1"/>
  <c r="AR174" i="1"/>
  <c r="AP174" i="1"/>
  <c r="AO174" i="1"/>
  <c r="AK174" i="1"/>
  <c r="AH174" i="1"/>
  <c r="AE174" i="1"/>
  <c r="AB174" i="1"/>
  <c r="W174" i="1"/>
  <c r="U174" i="1"/>
  <c r="T174" i="1"/>
  <c r="Q174" i="1"/>
  <c r="O174" i="1"/>
  <c r="N174" i="1"/>
  <c r="K174" i="1"/>
  <c r="J174" i="1"/>
  <c r="I174" i="1"/>
  <c r="I173" i="1" s="1"/>
  <c r="H174" i="1"/>
  <c r="E174" i="1"/>
  <c r="CJ173" i="1"/>
  <c r="CH173" i="1"/>
  <c r="CE173" i="1"/>
  <c r="CD173" i="1"/>
  <c r="CB173" i="1"/>
  <c r="BZ173" i="1" s="1"/>
  <c r="BH173" i="1"/>
  <c r="BI173" i="1" s="1"/>
  <c r="BD173" i="1"/>
  <c r="BB173" i="1"/>
  <c r="BC173" i="1" s="1"/>
  <c r="AZ173" i="1"/>
  <c r="BA173" i="1" s="1"/>
  <c r="AX173" i="1"/>
  <c r="AV173" i="1"/>
  <c r="AT173" i="1"/>
  <c r="AU173" i="1" s="1"/>
  <c r="AN173" i="1"/>
  <c r="AJ173" i="1"/>
  <c r="AR173" i="1" s="1"/>
  <c r="AI173" i="1"/>
  <c r="AH173" i="1" s="1"/>
  <c r="AG173" i="1"/>
  <c r="AE173" i="1" s="1"/>
  <c r="AF173" i="1"/>
  <c r="AD173" i="1"/>
  <c r="X173" i="1"/>
  <c r="T173" i="1" s="1"/>
  <c r="V173" i="1"/>
  <c r="S173" i="1"/>
  <c r="BY173" i="1" s="1"/>
  <c r="R173" i="1"/>
  <c r="P173" i="1"/>
  <c r="O173" i="1"/>
  <c r="N173" i="1"/>
  <c r="M173" i="1"/>
  <c r="L173" i="1"/>
  <c r="AW173" i="1" s="1"/>
  <c r="K173" i="1"/>
  <c r="J173" i="1"/>
  <c r="H173" i="1" s="1"/>
  <c r="G173" i="1"/>
  <c r="F173" i="1"/>
  <c r="E173" i="1" s="1"/>
  <c r="CJ172" i="1"/>
  <c r="CE172" i="1"/>
  <c r="CC172" i="1"/>
  <c r="BZ172" i="1"/>
  <c r="BZ169" i="1" s="1"/>
  <c r="BY172" i="1"/>
  <c r="BH172" i="1"/>
  <c r="BD172" i="1"/>
  <c r="BC172" i="1"/>
  <c r="BB172" i="1"/>
  <c r="AZ172" i="1" s="1"/>
  <c r="BA172" i="1"/>
  <c r="AW172" i="1"/>
  <c r="AU172" i="1"/>
  <c r="AT172" i="1"/>
  <c r="AR172" i="1"/>
  <c r="AP172" i="1"/>
  <c r="AO172" i="1"/>
  <c r="AK172" i="1"/>
  <c r="AI172" i="1"/>
  <c r="AE172" i="1"/>
  <c r="AB172" i="1"/>
  <c r="W172" i="1"/>
  <c r="U172" i="1"/>
  <c r="T172" i="1"/>
  <c r="Q172" i="1"/>
  <c r="O172" i="1"/>
  <c r="N172" i="1"/>
  <c r="K172" i="1"/>
  <c r="J172" i="1"/>
  <c r="I172" i="1"/>
  <c r="I170" i="1" s="1"/>
  <c r="H172" i="1"/>
  <c r="E172" i="1"/>
  <c r="CJ171" i="1"/>
  <c r="CH171" i="1"/>
  <c r="CH168" i="1" s="1"/>
  <c r="CE171" i="1"/>
  <c r="CE168" i="1" s="1"/>
  <c r="CC171" i="1"/>
  <c r="BZ171" i="1"/>
  <c r="BY171" i="1"/>
  <c r="BR171" i="1"/>
  <c r="BH171" i="1"/>
  <c r="BT171" i="1" s="1"/>
  <c r="BF171" i="1"/>
  <c r="BG171" i="1" s="1"/>
  <c r="BD171" i="1"/>
  <c r="BB171" i="1"/>
  <c r="AW171" i="1"/>
  <c r="AT171" i="1"/>
  <c r="AU171" i="1" s="1"/>
  <c r="AR171" i="1"/>
  <c r="AP171" i="1"/>
  <c r="AO171" i="1"/>
  <c r="AK171" i="1"/>
  <c r="AH171" i="1"/>
  <c r="AH168" i="1" s="1"/>
  <c r="AE171" i="1"/>
  <c r="AE168" i="1" s="1"/>
  <c r="AB171" i="1"/>
  <c r="AC171" i="1" s="1"/>
  <c r="Z171" i="1"/>
  <c r="W171" i="1"/>
  <c r="T171" i="1"/>
  <c r="Q171" i="1"/>
  <c r="Q168" i="1" s="1"/>
  <c r="O171" i="1"/>
  <c r="N171" i="1"/>
  <c r="K171" i="1"/>
  <c r="AM171" i="1" s="1"/>
  <c r="J171" i="1"/>
  <c r="I171" i="1"/>
  <c r="E171" i="1"/>
  <c r="CJ170" i="1"/>
  <c r="CH170" i="1" s="1"/>
  <c r="CD170" i="1"/>
  <c r="CC170" i="1"/>
  <c r="CB170" i="1"/>
  <c r="BP170" i="1"/>
  <c r="BJ170" i="1"/>
  <c r="BH170" i="1"/>
  <c r="BD170" i="1"/>
  <c r="AX170" i="1"/>
  <c r="AV170" i="1"/>
  <c r="AW170" i="1" s="1"/>
  <c r="AT170" i="1"/>
  <c r="AU170" i="1" s="1"/>
  <c r="AN170" i="1"/>
  <c r="AP170" i="1" s="1"/>
  <c r="AJ170" i="1"/>
  <c r="AR170" i="1" s="1"/>
  <c r="AG170" i="1"/>
  <c r="AF170" i="1"/>
  <c r="AD170" i="1"/>
  <c r="X170" i="1"/>
  <c r="W170" i="1"/>
  <c r="V170" i="1"/>
  <c r="T170" i="1"/>
  <c r="S170" i="1"/>
  <c r="R170" i="1"/>
  <c r="P170" i="1"/>
  <c r="O170" i="1"/>
  <c r="N170" i="1" s="1"/>
  <c r="L170" i="1"/>
  <c r="K170" i="1"/>
  <c r="G170" i="1"/>
  <c r="F170" i="1"/>
  <c r="E170" i="1" s="1"/>
  <c r="CE169" i="1"/>
  <c r="CD169" i="1"/>
  <c r="CB169" i="1"/>
  <c r="CB167" i="1" s="1"/>
  <c r="AX169" i="1"/>
  <c r="AV169" i="1"/>
  <c r="AT169" i="1" s="1"/>
  <c r="AR169" i="1"/>
  <c r="AP169" i="1"/>
  <c r="AN169" i="1"/>
  <c r="AJ169" i="1"/>
  <c r="AI169" i="1"/>
  <c r="AG169" i="1"/>
  <c r="AF169" i="1"/>
  <c r="AD169" i="1"/>
  <c r="BY169" i="1" s="1"/>
  <c r="X169" i="1"/>
  <c r="V169" i="1"/>
  <c r="T169" i="1"/>
  <c r="S169" i="1"/>
  <c r="R169" i="1"/>
  <c r="O169" i="1" s="1"/>
  <c r="Q169" i="1"/>
  <c r="U169" i="1" s="1"/>
  <c r="M169" i="1"/>
  <c r="M167" i="1" s="1"/>
  <c r="M166" i="1" s="1"/>
  <c r="M206" i="1" s="1"/>
  <c r="L169" i="1"/>
  <c r="G169" i="1"/>
  <c r="F169" i="1"/>
  <c r="E169" i="1"/>
  <c r="CJ168" i="1"/>
  <c r="CD168" i="1"/>
  <c r="CD167" i="1" s="1"/>
  <c r="CD166" i="1" s="1"/>
  <c r="CD206" i="1" s="1"/>
  <c r="CE206" i="1" s="1"/>
  <c r="CB168" i="1"/>
  <c r="BH168" i="1"/>
  <c r="BI168" i="1" s="1"/>
  <c r="BD168" i="1"/>
  <c r="AX168" i="1"/>
  <c r="AX167" i="1" s="1"/>
  <c r="AV168" i="1"/>
  <c r="AW168" i="1" s="1"/>
  <c r="AN168" i="1"/>
  <c r="AK168" i="1"/>
  <c r="AJ168" i="1"/>
  <c r="AR168" i="1" s="1"/>
  <c r="AI168" i="1"/>
  <c r="AG168" i="1"/>
  <c r="AG167" i="1" s="1"/>
  <c r="AG166" i="1" s="1"/>
  <c r="AG206" i="1" s="1"/>
  <c r="AF168" i="1"/>
  <c r="AF167" i="1" s="1"/>
  <c r="AF166" i="1" s="1"/>
  <c r="AF206" i="1" s="1"/>
  <c r="AD168" i="1"/>
  <c r="X168" i="1"/>
  <c r="X167" i="1" s="1"/>
  <c r="X166" i="1" s="1"/>
  <c r="X206" i="1" s="1"/>
  <c r="W168" i="1"/>
  <c r="V168" i="1"/>
  <c r="S168" i="1"/>
  <c r="BY168" i="1" s="1"/>
  <c r="R168" i="1"/>
  <c r="O168" i="1"/>
  <c r="N168" i="1"/>
  <c r="M168" i="1"/>
  <c r="L168" i="1"/>
  <c r="K168" i="1"/>
  <c r="G168" i="1"/>
  <c r="F168" i="1"/>
  <c r="CJ167" i="1"/>
  <c r="CH167" i="1"/>
  <c r="CH166" i="1" s="1"/>
  <c r="CH206" i="1" s="1"/>
  <c r="CE167" i="1"/>
  <c r="BV167" i="1"/>
  <c r="AV167" i="1"/>
  <c r="AR167" i="1"/>
  <c r="AQ167" i="1"/>
  <c r="AJ167" i="1"/>
  <c r="AJ166" i="1" s="1"/>
  <c r="AJ206" i="1" s="1"/>
  <c r="AI167" i="1"/>
  <c r="AE167" i="1"/>
  <c r="V167" i="1"/>
  <c r="S167" i="1"/>
  <c r="S166" i="1" s="1"/>
  <c r="S206" i="1" s="1"/>
  <c r="P167" i="1"/>
  <c r="P166" i="1" s="1"/>
  <c r="P206" i="1" s="1"/>
  <c r="O167" i="1"/>
  <c r="N167" i="1"/>
  <c r="G167" i="1"/>
  <c r="G166" i="1" s="1"/>
  <c r="G206" i="1" s="1"/>
  <c r="F167" i="1"/>
  <c r="CJ166" i="1"/>
  <c r="CJ206" i="1" s="1"/>
  <c r="CB166" i="1"/>
  <c r="CJ163" i="1"/>
  <c r="CH163" i="1"/>
  <c r="CE163" i="1"/>
  <c r="CD163" i="1"/>
  <c r="BJ163" i="1"/>
  <c r="BP163" i="1" s="1"/>
  <c r="BH163" i="1"/>
  <c r="BD163" i="1"/>
  <c r="AX163" i="1"/>
  <c r="AQ163" i="1"/>
  <c r="AN163" i="1"/>
  <c r="AJ163" i="1"/>
  <c r="AI163" i="1"/>
  <c r="AG163" i="1"/>
  <c r="AF163" i="1"/>
  <c r="AE163" i="1"/>
  <c r="AD163" i="1"/>
  <c r="X163" i="1"/>
  <c r="S163" i="1"/>
  <c r="P163" i="1"/>
  <c r="M163" i="1"/>
  <c r="G163" i="1"/>
  <c r="F163" i="1"/>
  <c r="CJ162" i="1"/>
  <c r="CH162" i="1" s="1"/>
  <c r="CH164" i="1" s="1"/>
  <c r="CJ161" i="1"/>
  <c r="CH161" i="1"/>
  <c r="BZ161" i="1"/>
  <c r="BP161" i="1"/>
  <c r="BF161" i="1"/>
  <c r="BG161" i="1" s="1"/>
  <c r="BD161" i="1"/>
  <c r="AV161" i="1"/>
  <c r="BN161" i="1" s="1"/>
  <c r="BO161" i="1" s="1"/>
  <c r="AT161" i="1"/>
  <c r="AR161" i="1"/>
  <c r="AP161" i="1"/>
  <c r="AO161" i="1"/>
  <c r="AK161" i="1"/>
  <c r="AH161" i="1"/>
  <c r="AE161" i="1"/>
  <c r="AB161" i="1"/>
  <c r="AC161" i="1" s="1"/>
  <c r="W161" i="1"/>
  <c r="T161" i="1"/>
  <c r="Q161" i="1"/>
  <c r="AM161" i="1" s="1"/>
  <c r="P161" i="1"/>
  <c r="L161" i="1"/>
  <c r="J161" i="1"/>
  <c r="I161" i="1"/>
  <c r="H161" i="1" s="1"/>
  <c r="E161" i="1"/>
  <c r="BT160" i="1"/>
  <c r="BP160" i="1"/>
  <c r="BN160" i="1"/>
  <c r="BO160" i="1" s="1"/>
  <c r="BI160" i="1"/>
  <c r="BF160" i="1"/>
  <c r="BB160" i="1"/>
  <c r="BC160" i="1" s="1"/>
  <c r="AW160" i="1"/>
  <c r="AT160" i="1"/>
  <c r="Q160" i="1"/>
  <c r="O160" i="1"/>
  <c r="N160" i="1"/>
  <c r="K160" i="1"/>
  <c r="J160" i="1"/>
  <c r="CJ159" i="1"/>
  <c r="CH159" i="1"/>
  <c r="CC159" i="1"/>
  <c r="BZ159" i="1"/>
  <c r="BT159" i="1"/>
  <c r="BP159" i="1"/>
  <c r="BQ159" i="1" s="1"/>
  <c r="BK159" i="1"/>
  <c r="BF159" i="1"/>
  <c r="BD159" i="1"/>
  <c r="AV159" i="1"/>
  <c r="BB159" i="1" s="1"/>
  <c r="AT159" i="1"/>
  <c r="AR159" i="1"/>
  <c r="AP159" i="1"/>
  <c r="AO159" i="1"/>
  <c r="AK159" i="1"/>
  <c r="AK157" i="1" s="1"/>
  <c r="AH159" i="1"/>
  <c r="AE159" i="1"/>
  <c r="AB159" i="1"/>
  <c r="AC159" i="1" s="1"/>
  <c r="Z159" i="1"/>
  <c r="AA159" i="1" s="1"/>
  <c r="W159" i="1"/>
  <c r="T159" i="1"/>
  <c r="Q159" i="1"/>
  <c r="P159" i="1"/>
  <c r="O159" i="1"/>
  <c r="K159" i="1"/>
  <c r="J159" i="1"/>
  <c r="I159" i="1"/>
  <c r="H159" i="1" s="1"/>
  <c r="E159" i="1"/>
  <c r="CJ158" i="1"/>
  <c r="CH158" i="1"/>
  <c r="BZ158" i="1"/>
  <c r="BT158" i="1"/>
  <c r="BR158" i="1" s="1"/>
  <c r="BS158" i="1" s="1"/>
  <c r="BP158" i="1"/>
  <c r="BF158" i="1"/>
  <c r="BD158" i="1"/>
  <c r="AV158" i="1"/>
  <c r="BN158" i="1" s="1"/>
  <c r="BL158" i="1" s="1"/>
  <c r="AR158" i="1"/>
  <c r="AP158" i="1"/>
  <c r="AO158" i="1"/>
  <c r="AK158" i="1"/>
  <c r="AH158" i="1"/>
  <c r="AE158" i="1"/>
  <c r="R158" i="1"/>
  <c r="Q158" i="1"/>
  <c r="P158" i="1"/>
  <c r="O158" i="1"/>
  <c r="K158" i="1"/>
  <c r="J158" i="1"/>
  <c r="I158" i="1"/>
  <c r="E158" i="1"/>
  <c r="CJ157" i="1"/>
  <c r="CH157" i="1" s="1"/>
  <c r="BZ157" i="1"/>
  <c r="BV157" i="1"/>
  <c r="BH157" i="1"/>
  <c r="BF157" i="1" s="1"/>
  <c r="BD157" i="1"/>
  <c r="AX157" i="1"/>
  <c r="BP157" i="1" s="1"/>
  <c r="AR157" i="1"/>
  <c r="AN157" i="1"/>
  <c r="AO157" i="1" s="1"/>
  <c r="AI157" i="1"/>
  <c r="AH157" i="1" s="1"/>
  <c r="AE157" i="1"/>
  <c r="S157" i="1"/>
  <c r="R157" i="1"/>
  <c r="M157" i="1"/>
  <c r="L157" i="1"/>
  <c r="G157" i="1"/>
  <c r="F157" i="1"/>
  <c r="CJ156" i="1"/>
  <c r="CH156" i="1" s="1"/>
  <c r="CF156" i="1" s="1"/>
  <c r="CE156" i="1"/>
  <c r="BZ156" i="1"/>
  <c r="BY156" i="1"/>
  <c r="BT156" i="1"/>
  <c r="BP156" i="1"/>
  <c r="BQ156" i="1" s="1"/>
  <c r="BO156" i="1"/>
  <c r="BK156" i="1"/>
  <c r="BI156" i="1"/>
  <c r="BF156" i="1"/>
  <c r="BD156" i="1"/>
  <c r="BE156" i="1" s="1"/>
  <c r="BC156" i="1"/>
  <c r="AY156" i="1"/>
  <c r="AW156" i="1"/>
  <c r="AT156" i="1"/>
  <c r="AS156" i="1"/>
  <c r="AR156" i="1"/>
  <c r="AP156" i="1"/>
  <c r="AO156" i="1"/>
  <c r="AK156" i="1"/>
  <c r="AH156" i="1"/>
  <c r="AE156" i="1"/>
  <c r="AC156" i="1"/>
  <c r="AC151" i="1" s="1"/>
  <c r="Z156" i="1"/>
  <c r="Y156" i="1"/>
  <c r="W156" i="1"/>
  <c r="W151" i="1" s="1"/>
  <c r="T156" i="1"/>
  <c r="Q156" i="1"/>
  <c r="P156" i="1"/>
  <c r="N156" i="1" s="1"/>
  <c r="K156" i="1"/>
  <c r="J156" i="1"/>
  <c r="H156" i="1" s="1"/>
  <c r="E156" i="1"/>
  <c r="CJ155" i="1"/>
  <c r="CH155" i="1"/>
  <c r="CE155" i="1"/>
  <c r="BZ155" i="1"/>
  <c r="BY155" i="1"/>
  <c r="BT155" i="1"/>
  <c r="CA155" i="1" s="1"/>
  <c r="BB155" i="1"/>
  <c r="AY155" i="1"/>
  <c r="AX155" i="1"/>
  <c r="AT155" i="1"/>
  <c r="AS155" i="1"/>
  <c r="AQ155" i="1"/>
  <c r="AR155" i="1" s="1"/>
  <c r="AO155" i="1"/>
  <c r="AH155" i="1"/>
  <c r="AE155" i="1"/>
  <c r="Z155" i="1"/>
  <c r="AA155" i="1" s="1"/>
  <c r="X155" i="1"/>
  <c r="Q155" i="1"/>
  <c r="P155" i="1"/>
  <c r="N155" i="1" s="1"/>
  <c r="K155" i="1"/>
  <c r="J155" i="1"/>
  <c r="H155" i="1" s="1"/>
  <c r="E155" i="1"/>
  <c r="CJ154" i="1"/>
  <c r="CH154" i="1"/>
  <c r="CF154" i="1" s="1"/>
  <c r="CE154" i="1"/>
  <c r="BZ154" i="1"/>
  <c r="BY154" i="1"/>
  <c r="BT154" i="1"/>
  <c r="BU154" i="1" s="1"/>
  <c r="BO154" i="1"/>
  <c r="BJ154" i="1"/>
  <c r="BK154" i="1" s="1"/>
  <c r="BD154" i="1"/>
  <c r="BE154" i="1" s="1"/>
  <c r="BB154" i="1"/>
  <c r="BC154" i="1" s="1"/>
  <c r="AT154" i="1"/>
  <c r="AS154" i="1"/>
  <c r="AR154" i="1"/>
  <c r="AP154" i="1"/>
  <c r="AO154" i="1"/>
  <c r="AK154" i="1"/>
  <c r="AL154" i="1" s="1"/>
  <c r="AH154" i="1"/>
  <c r="AE154" i="1"/>
  <c r="AC154" i="1"/>
  <c r="Z154" i="1"/>
  <c r="X154" i="1"/>
  <c r="W154" i="1"/>
  <c r="Q154" i="1"/>
  <c r="P154" i="1"/>
  <c r="N154" i="1" s="1"/>
  <c r="K154" i="1"/>
  <c r="J154" i="1"/>
  <c r="H154" i="1"/>
  <c r="E154" i="1"/>
  <c r="CJ153" i="1"/>
  <c r="CH153" i="1"/>
  <c r="CF153" i="1"/>
  <c r="CE153" i="1"/>
  <c r="BZ153" i="1"/>
  <c r="BV153" i="1"/>
  <c r="BW153" i="1" s="1"/>
  <c r="BT153" i="1"/>
  <c r="BF153" i="1"/>
  <c r="BB153" i="1"/>
  <c r="AX153" i="1"/>
  <c r="BK153" i="1" s="1"/>
  <c r="AS153" i="1"/>
  <c r="AO153" i="1"/>
  <c r="AK153" i="1"/>
  <c r="AJ153" i="1"/>
  <c r="AR153" i="1" s="1"/>
  <c r="AH153" i="1"/>
  <c r="AH152" i="1" s="1"/>
  <c r="AH151" i="1" s="1"/>
  <c r="AE153" i="1"/>
  <c r="AC153" i="1"/>
  <c r="Z153" i="1"/>
  <c r="X153" i="1"/>
  <c r="Y153" i="1" s="1"/>
  <c r="S153" i="1"/>
  <c r="BY153" i="1" s="1"/>
  <c r="Q153" i="1"/>
  <c r="P153" i="1"/>
  <c r="N153" i="1" s="1"/>
  <c r="N152" i="1" s="1"/>
  <c r="K153" i="1"/>
  <c r="J153" i="1"/>
  <c r="H153" i="1" s="1"/>
  <c r="E153" i="1"/>
  <c r="CJ152" i="1"/>
  <c r="CH152" i="1"/>
  <c r="CD152" i="1"/>
  <c r="BZ152" i="1" s="1"/>
  <c r="CA152" i="1" s="1"/>
  <c r="BT152" i="1"/>
  <c r="BJ152" i="1"/>
  <c r="BP152" i="1" s="1"/>
  <c r="BQ152" i="1" s="1"/>
  <c r="BB152" i="1"/>
  <c r="AT152" i="1"/>
  <c r="AQ152" i="1"/>
  <c r="AQ151" i="1" s="1"/>
  <c r="AO152" i="1"/>
  <c r="AG152" i="1"/>
  <c r="AE152" i="1" s="1"/>
  <c r="AE151" i="1" s="1"/>
  <c r="AD152" i="1"/>
  <c r="Z152" i="1" s="1"/>
  <c r="S152" i="1"/>
  <c r="BD152" i="1" s="1"/>
  <c r="O152" i="1"/>
  <c r="M152" i="1"/>
  <c r="AY152" i="1" s="1"/>
  <c r="G152" i="1"/>
  <c r="E152" i="1"/>
  <c r="CJ151" i="1"/>
  <c r="CH151" i="1" s="1"/>
  <c r="BT151" i="1"/>
  <c r="AX151" i="1"/>
  <c r="AV151" i="1"/>
  <c r="AV210" i="1" s="1"/>
  <c r="AV277" i="1" s="1"/>
  <c r="AN151" i="1"/>
  <c r="AN210" i="1" s="1"/>
  <c r="AN277" i="1" s="1"/>
  <c r="AI151" i="1"/>
  <c r="AI210" i="1" s="1"/>
  <c r="AI277" i="1" s="1"/>
  <c r="AF151" i="1"/>
  <c r="AF210" i="1" s="1"/>
  <c r="AF277" i="1" s="1"/>
  <c r="AD151" i="1"/>
  <c r="AB151" i="1"/>
  <c r="V151" i="1"/>
  <c r="V210" i="1" s="1"/>
  <c r="V277" i="1" s="1"/>
  <c r="G151" i="1"/>
  <c r="CJ150" i="1"/>
  <c r="CH150" i="1" s="1"/>
  <c r="CF150" i="1" s="1"/>
  <c r="CE150" i="1"/>
  <c r="CB150" i="1"/>
  <c r="BZ150" i="1"/>
  <c r="CA150" i="1" s="1"/>
  <c r="BY150" i="1"/>
  <c r="BV150" i="1"/>
  <c r="BT150" i="1"/>
  <c r="BP150" i="1"/>
  <c r="BF150" i="1"/>
  <c r="BD150" i="1"/>
  <c r="AV150" i="1"/>
  <c r="BN150" i="1" s="1"/>
  <c r="BO150" i="1" s="1"/>
  <c r="AT150" i="1"/>
  <c r="AU150" i="1" s="1"/>
  <c r="AR150" i="1"/>
  <c r="AP150" i="1"/>
  <c r="AO150" i="1"/>
  <c r="AL150" i="1"/>
  <c r="AK150" i="1"/>
  <c r="AH150" i="1"/>
  <c r="AE150" i="1"/>
  <c r="AC150" i="1"/>
  <c r="AB150" i="1"/>
  <c r="Z150" i="1"/>
  <c r="W150" i="1"/>
  <c r="T150" i="1"/>
  <c r="Q150" i="1"/>
  <c r="AM150" i="1" s="1"/>
  <c r="O150" i="1"/>
  <c r="N150" i="1" s="1"/>
  <c r="K150" i="1"/>
  <c r="J150" i="1"/>
  <c r="I150" i="1"/>
  <c r="E150" i="1"/>
  <c r="CJ149" i="1"/>
  <c r="CH149" i="1"/>
  <c r="CF149" i="1" s="1"/>
  <c r="CB149" i="1"/>
  <c r="BZ149" i="1"/>
  <c r="CA149" i="1" s="1"/>
  <c r="BY149" i="1"/>
  <c r="BV149" i="1"/>
  <c r="BT149" i="1"/>
  <c r="BP149" i="1"/>
  <c r="BF149" i="1"/>
  <c r="BD149" i="1"/>
  <c r="AV149" i="1"/>
  <c r="BN149" i="1" s="1"/>
  <c r="BO149" i="1" s="1"/>
  <c r="AT149" i="1"/>
  <c r="AR149" i="1"/>
  <c r="AP149" i="1"/>
  <c r="AO149" i="1"/>
  <c r="AK149" i="1"/>
  <c r="AL149" i="1" s="1"/>
  <c r="AH149" i="1"/>
  <c r="AE149" i="1"/>
  <c r="AB149" i="1"/>
  <c r="Z149" i="1" s="1"/>
  <c r="Y149" i="1"/>
  <c r="W149" i="1"/>
  <c r="T149" i="1"/>
  <c r="Q149" i="1"/>
  <c r="O149" i="1"/>
  <c r="N149" i="1" s="1"/>
  <c r="K149" i="1"/>
  <c r="J149" i="1"/>
  <c r="I149" i="1"/>
  <c r="E149" i="1"/>
  <c r="CJ148" i="1"/>
  <c r="CE148" i="1"/>
  <c r="CB148" i="1"/>
  <c r="BZ148" i="1"/>
  <c r="BT148" i="1"/>
  <c r="BP148" i="1"/>
  <c r="BI148" i="1"/>
  <c r="BF148" i="1"/>
  <c r="BD148" i="1"/>
  <c r="BB148" i="1"/>
  <c r="AW148" i="1"/>
  <c r="AV148" i="1"/>
  <c r="AO148" i="1"/>
  <c r="AJ148" i="1"/>
  <c r="AJ147" i="1" s="1"/>
  <c r="AE148" i="1"/>
  <c r="S148" i="1"/>
  <c r="X148" i="1" s="1"/>
  <c r="R148" i="1"/>
  <c r="W148" i="1" s="1"/>
  <c r="K148" i="1"/>
  <c r="J148" i="1"/>
  <c r="I148" i="1"/>
  <c r="E148" i="1"/>
  <c r="CD147" i="1"/>
  <c r="CE147" i="1" s="1"/>
  <c r="CB147" i="1"/>
  <c r="BV147" i="1"/>
  <c r="BJ147" i="1"/>
  <c r="BH147" i="1"/>
  <c r="BF147" i="1"/>
  <c r="AX147" i="1"/>
  <c r="BP147" i="1" s="1"/>
  <c r="AN147" i="1"/>
  <c r="AI147" i="1"/>
  <c r="AG147" i="1"/>
  <c r="AF147" i="1"/>
  <c r="AD147" i="1"/>
  <c r="V147" i="1"/>
  <c r="R147" i="1"/>
  <c r="P147" i="1"/>
  <c r="M147" i="1"/>
  <c r="BV148" i="1" s="1"/>
  <c r="CC148" i="1" s="1"/>
  <c r="L147" i="1"/>
  <c r="G147" i="1"/>
  <c r="F147" i="1"/>
  <c r="CJ146" i="1"/>
  <c r="CH146" i="1" s="1"/>
  <c r="CF146" i="1" s="1"/>
  <c r="CE146" i="1"/>
  <c r="BZ146" i="1"/>
  <c r="CA146" i="1" s="1"/>
  <c r="BY146" i="1"/>
  <c r="BV146" i="1"/>
  <c r="CC146" i="1" s="1"/>
  <c r="BT146" i="1"/>
  <c r="BP146" i="1"/>
  <c r="BN146" i="1"/>
  <c r="BI146" i="1"/>
  <c r="BF146" i="1"/>
  <c r="BG146" i="1" s="1"/>
  <c r="BD146" i="1"/>
  <c r="BE146" i="1" s="1"/>
  <c r="BB146" i="1"/>
  <c r="BC146" i="1" s="1"/>
  <c r="AT146" i="1"/>
  <c r="AS146" i="1"/>
  <c r="AR146" i="1"/>
  <c r="AP146" i="1"/>
  <c r="AO146" i="1"/>
  <c r="AK146" i="1"/>
  <c r="AH146" i="1"/>
  <c r="AE146" i="1"/>
  <c r="AC146" i="1"/>
  <c r="Z146" i="1"/>
  <c r="Y146" i="1"/>
  <c r="W146" i="1"/>
  <c r="Q146" i="1"/>
  <c r="U146" i="1" s="1"/>
  <c r="P146" i="1"/>
  <c r="O146" i="1"/>
  <c r="N146" i="1" s="1"/>
  <c r="K146" i="1"/>
  <c r="J146" i="1"/>
  <c r="I146" i="1"/>
  <c r="H146" i="1" s="1"/>
  <c r="E146" i="1"/>
  <c r="CJ145" i="1"/>
  <c r="CH145" i="1" s="1"/>
  <c r="CF145" i="1" s="1"/>
  <c r="CD145" i="1"/>
  <c r="CD144" i="1" s="1"/>
  <c r="CB145" i="1"/>
  <c r="BP145" i="1"/>
  <c r="BH145" i="1"/>
  <c r="BF145" i="1"/>
  <c r="AR145" i="1"/>
  <c r="AP145" i="1"/>
  <c r="AO145" i="1"/>
  <c r="AK145" i="1"/>
  <c r="AH145" i="1"/>
  <c r="AE145" i="1"/>
  <c r="W145" i="1"/>
  <c r="V145" i="1"/>
  <c r="T145" i="1"/>
  <c r="S145" i="1"/>
  <c r="L145" i="1"/>
  <c r="J145" i="1"/>
  <c r="J144" i="1" s="1"/>
  <c r="E145" i="1"/>
  <c r="CJ144" i="1"/>
  <c r="CH144" i="1"/>
  <c r="CB144" i="1"/>
  <c r="BV144" i="1"/>
  <c r="BH144" i="1"/>
  <c r="AX144" i="1"/>
  <c r="BP144" i="1" s="1"/>
  <c r="AQ144" i="1"/>
  <c r="AR144" i="1" s="1"/>
  <c r="AN144" i="1"/>
  <c r="AI144" i="1"/>
  <c r="AH144" i="1"/>
  <c r="AF144" i="1"/>
  <c r="AE144" i="1" s="1"/>
  <c r="X144" i="1"/>
  <c r="V144" i="1"/>
  <c r="R144" i="1"/>
  <c r="P144" i="1"/>
  <c r="M144" i="1"/>
  <c r="BV145" i="1" s="1"/>
  <c r="G144" i="1"/>
  <c r="F144" i="1"/>
  <c r="CJ143" i="1"/>
  <c r="CH143" i="1" s="1"/>
  <c r="CF143" i="1" s="1"/>
  <c r="CE143" i="1"/>
  <c r="CB143" i="1"/>
  <c r="BZ143" i="1"/>
  <c r="CA143" i="1" s="1"/>
  <c r="BY143" i="1"/>
  <c r="BV143" i="1"/>
  <c r="CC143" i="1" s="1"/>
  <c r="BP143" i="1"/>
  <c r="BF143" i="1"/>
  <c r="BD143" i="1"/>
  <c r="AV143" i="1"/>
  <c r="AR143" i="1"/>
  <c r="AP143" i="1"/>
  <c r="AO143" i="1"/>
  <c r="AK143" i="1"/>
  <c r="AL143" i="1" s="1"/>
  <c r="AH143" i="1"/>
  <c r="AE143" i="1"/>
  <c r="AB143" i="1"/>
  <c r="AC143" i="1" s="1"/>
  <c r="W143" i="1"/>
  <c r="T143" i="1"/>
  <c r="U143" i="1" s="1"/>
  <c r="Q143" i="1"/>
  <c r="O143" i="1"/>
  <c r="N143" i="1" s="1"/>
  <c r="L143" i="1"/>
  <c r="BT143" i="1" s="1"/>
  <c r="K143" i="1"/>
  <c r="J143" i="1"/>
  <c r="J139" i="1" s="1"/>
  <c r="E143" i="1"/>
  <c r="CJ142" i="1"/>
  <c r="CJ276" i="1" s="1"/>
  <c r="CH142" i="1"/>
  <c r="CE142" i="1"/>
  <c r="CB142" i="1"/>
  <c r="BY142" i="1"/>
  <c r="BV142" i="1"/>
  <c r="BV276" i="1" s="1"/>
  <c r="BW276" i="1" s="1"/>
  <c r="BP142" i="1"/>
  <c r="BF142" i="1"/>
  <c r="BF276" i="1" s="1"/>
  <c r="BD142" i="1"/>
  <c r="AV142" i="1"/>
  <c r="BN142" i="1" s="1"/>
  <c r="AR142" i="1"/>
  <c r="AP142" i="1"/>
  <c r="AO142" i="1"/>
  <c r="AK142" i="1"/>
  <c r="AH142" i="1"/>
  <c r="AE142" i="1"/>
  <c r="AB142" i="1"/>
  <c r="W142" i="1"/>
  <c r="T142" i="1"/>
  <c r="Q142" i="1"/>
  <c r="L142" i="1"/>
  <c r="J142" i="1"/>
  <c r="E142" i="1"/>
  <c r="CJ141" i="1"/>
  <c r="CH141" i="1" s="1"/>
  <c r="CD141" i="1"/>
  <c r="CD139" i="1" s="1"/>
  <c r="CB141" i="1"/>
  <c r="BV141" i="1"/>
  <c r="BP141" i="1"/>
  <c r="BN141" i="1"/>
  <c r="BI141" i="1"/>
  <c r="BF141" i="1"/>
  <c r="AT141" i="1"/>
  <c r="AR141" i="1"/>
  <c r="AP141" i="1"/>
  <c r="AO141" i="1"/>
  <c r="AK141" i="1"/>
  <c r="AM141" i="1" s="1"/>
  <c r="AH141" i="1"/>
  <c r="AH139" i="1" s="1"/>
  <c r="AE141" i="1"/>
  <c r="AB141" i="1"/>
  <c r="AC141" i="1" s="1"/>
  <c r="W141" i="1"/>
  <c r="T141" i="1"/>
  <c r="T139" i="1" s="1"/>
  <c r="S141" i="1"/>
  <c r="Y141" i="1" s="1"/>
  <c r="CE141" i="1" s="1"/>
  <c r="Q141" i="1"/>
  <c r="L141" i="1"/>
  <c r="AW141" i="1" s="1"/>
  <c r="K141" i="1"/>
  <c r="K139" i="1" s="1"/>
  <c r="J141" i="1"/>
  <c r="F141" i="1"/>
  <c r="E141" i="1"/>
  <c r="E139" i="1" s="1"/>
  <c r="CJ140" i="1"/>
  <c r="CE140" i="1"/>
  <c r="CB140" i="1"/>
  <c r="BZ140" i="1"/>
  <c r="BY140" i="1"/>
  <c r="BT140" i="1"/>
  <c r="BP140" i="1"/>
  <c r="BF140" i="1"/>
  <c r="BG140" i="1" s="1"/>
  <c r="BD140" i="1"/>
  <c r="AV140" i="1"/>
  <c r="AT140" i="1" s="1"/>
  <c r="AR140" i="1"/>
  <c r="AP140" i="1"/>
  <c r="AO140" i="1"/>
  <c r="AK140" i="1"/>
  <c r="AH140" i="1"/>
  <c r="AE140" i="1"/>
  <c r="AB140" i="1"/>
  <c r="W140" i="1"/>
  <c r="T140" i="1"/>
  <c r="U140" i="1" s="1"/>
  <c r="Q140" i="1"/>
  <c r="Q138" i="1" s="1"/>
  <c r="O140" i="1"/>
  <c r="L140" i="1"/>
  <c r="K140" i="1"/>
  <c r="J140" i="1"/>
  <c r="I140" i="1"/>
  <c r="E140" i="1"/>
  <c r="CJ139" i="1"/>
  <c r="BJ139" i="1"/>
  <c r="BH139" i="1"/>
  <c r="BH136" i="1" s="1"/>
  <c r="AX139" i="1"/>
  <c r="AQ139" i="1"/>
  <c r="AN139" i="1"/>
  <c r="AJ139" i="1"/>
  <c r="AI139" i="1"/>
  <c r="AG139" i="1"/>
  <c r="AF139" i="1"/>
  <c r="X139" i="1"/>
  <c r="X136" i="1" s="1"/>
  <c r="V139" i="1"/>
  <c r="R139" i="1"/>
  <c r="P139" i="1"/>
  <c r="M139" i="1"/>
  <c r="G139" i="1"/>
  <c r="F139" i="1"/>
  <c r="CB138" i="1"/>
  <c r="BV138" i="1"/>
  <c r="BJ138" i="1"/>
  <c r="BH138" i="1"/>
  <c r="AX138" i="1"/>
  <c r="AQ138" i="1"/>
  <c r="AN138" i="1"/>
  <c r="AJ138" i="1"/>
  <c r="AI138" i="1"/>
  <c r="AG138" i="1"/>
  <c r="AG136" i="1" s="1"/>
  <c r="AF138" i="1"/>
  <c r="AE138" i="1"/>
  <c r="X138" i="1"/>
  <c r="V138" i="1"/>
  <c r="S138" i="1"/>
  <c r="R138" i="1"/>
  <c r="P138" i="1"/>
  <c r="M138" i="1"/>
  <c r="G138" i="1"/>
  <c r="F138" i="1"/>
  <c r="E138" i="1"/>
  <c r="BP137" i="1"/>
  <c r="BP208" i="1" s="1"/>
  <c r="BF137" i="1"/>
  <c r="BF163" i="1" s="1"/>
  <c r="BD137" i="1"/>
  <c r="BD208" i="1" s="1"/>
  <c r="AR137" i="1"/>
  <c r="AR208" i="1" s="1"/>
  <c r="AL137" i="1"/>
  <c r="AL208" i="1" s="1"/>
  <c r="AK137" i="1"/>
  <c r="AI137" i="1"/>
  <c r="AI208" i="1" s="1"/>
  <c r="AI274" i="1" s="1"/>
  <c r="AH137" i="1"/>
  <c r="AH163" i="1" s="1"/>
  <c r="R137" i="1"/>
  <c r="V137" i="1" s="1"/>
  <c r="L137" i="1"/>
  <c r="BT137" i="1" s="1"/>
  <c r="K137" i="1"/>
  <c r="J137" i="1"/>
  <c r="J163" i="1" s="1"/>
  <c r="E137" i="1"/>
  <c r="E163" i="1" s="1"/>
  <c r="CD136" i="1"/>
  <c r="P136" i="1"/>
  <c r="P128" i="1" s="1"/>
  <c r="CJ135" i="1"/>
  <c r="CH135" i="1"/>
  <c r="CF135" i="1" s="1"/>
  <c r="CD135" i="1"/>
  <c r="CD129" i="1" s="1"/>
  <c r="BT135" i="1"/>
  <c r="BH135" i="1"/>
  <c r="AX135" i="1"/>
  <c r="AV135" i="1"/>
  <c r="AW135" i="1" s="1"/>
  <c r="AS135" i="1"/>
  <c r="AR135" i="1"/>
  <c r="AO135" i="1"/>
  <c r="AK135" i="1"/>
  <c r="AH135" i="1"/>
  <c r="AE135" i="1"/>
  <c r="V135" i="1"/>
  <c r="T135" i="1" s="1"/>
  <c r="S135" i="1"/>
  <c r="BJ135" i="1" s="1"/>
  <c r="R135" i="1"/>
  <c r="L135" i="1"/>
  <c r="K135" i="1" s="1"/>
  <c r="J135" i="1"/>
  <c r="I135" i="1"/>
  <c r="E135" i="1"/>
  <c r="BY134" i="1"/>
  <c r="BV134" i="1"/>
  <c r="CB134" i="1" s="1"/>
  <c r="BP134" i="1"/>
  <c r="BH134" i="1"/>
  <c r="BF134" i="1" s="1"/>
  <c r="BD134" i="1"/>
  <c r="AV134" i="1"/>
  <c r="BB134" i="1" s="1"/>
  <c r="AN134" i="1"/>
  <c r="AP134" i="1" s="1"/>
  <c r="AK134" i="1"/>
  <c r="AB134" i="1"/>
  <c r="Z134" i="1" s="1"/>
  <c r="Y134" i="1"/>
  <c r="CE134" i="1" s="1"/>
  <c r="W134" i="1"/>
  <c r="T134" i="1"/>
  <c r="Q134" i="1"/>
  <c r="O134" i="1"/>
  <c r="N134" i="1" s="1"/>
  <c r="K134" i="1"/>
  <c r="BH133" i="1"/>
  <c r="K133" i="1"/>
  <c r="CJ132" i="1"/>
  <c r="CH132" i="1" s="1"/>
  <c r="CF132" i="1" s="1"/>
  <c r="CB132" i="1"/>
  <c r="BZ132" i="1" s="1"/>
  <c r="CA132" i="1" s="1"/>
  <c r="BY132" i="1"/>
  <c r="BV132" i="1"/>
  <c r="BP132" i="1"/>
  <c r="BD132" i="1"/>
  <c r="AR132" i="1"/>
  <c r="AN132" i="1"/>
  <c r="AK132" i="1"/>
  <c r="AI132" i="1"/>
  <c r="AO132" i="1" s="1"/>
  <c r="AH132" i="1"/>
  <c r="AL132" i="1" s="1"/>
  <c r="AE132" i="1"/>
  <c r="Y132" i="1"/>
  <c r="CE132" i="1" s="1"/>
  <c r="V132" i="1"/>
  <c r="T132" i="1"/>
  <c r="L132" i="1"/>
  <c r="K132" i="1" s="1"/>
  <c r="J132" i="1"/>
  <c r="I132" i="1"/>
  <c r="H132" i="1" s="1"/>
  <c r="E132" i="1"/>
  <c r="CJ131" i="1"/>
  <c r="BY131" i="1"/>
  <c r="BP131" i="1"/>
  <c r="BH131" i="1"/>
  <c r="BD131" i="1"/>
  <c r="AR131" i="1"/>
  <c r="AN131" i="1"/>
  <c r="AH131" i="1"/>
  <c r="AE131" i="1"/>
  <c r="Y131" i="1"/>
  <c r="CE131" i="1" s="1"/>
  <c r="T131" i="1"/>
  <c r="R131" i="1"/>
  <c r="O131" i="1" s="1"/>
  <c r="K131" i="1"/>
  <c r="J131" i="1"/>
  <c r="I131" i="1"/>
  <c r="E131" i="1"/>
  <c r="CJ130" i="1"/>
  <c r="CH130" i="1"/>
  <c r="CF130" i="1" s="1"/>
  <c r="BJ130" i="1"/>
  <c r="AX130" i="1"/>
  <c r="AQ130" i="1"/>
  <c r="AQ129" i="1" s="1"/>
  <c r="AQ122" i="1" s="1"/>
  <c r="AN130" i="1"/>
  <c r="AJ130" i="1"/>
  <c r="AJ129" i="1" s="1"/>
  <c r="AI130" i="1"/>
  <c r="AF130" i="1"/>
  <c r="AF129" i="1" s="1"/>
  <c r="AE130" i="1"/>
  <c r="X130" i="1"/>
  <c r="X129" i="1" s="1"/>
  <c r="V130" i="1"/>
  <c r="S130" i="1"/>
  <c r="BY130" i="1" s="1"/>
  <c r="P130" i="1"/>
  <c r="M130" i="1"/>
  <c r="L130" i="1"/>
  <c r="J130" i="1"/>
  <c r="G130" i="1"/>
  <c r="F130" i="1"/>
  <c r="F129" i="1" s="1"/>
  <c r="E130" i="1"/>
  <c r="P129" i="1"/>
  <c r="L129" i="1"/>
  <c r="G129" i="1"/>
  <c r="CJ128" i="1"/>
  <c r="CH128" i="1"/>
  <c r="CG126" i="1"/>
  <c r="CF126" i="1"/>
  <c r="BW125" i="1"/>
  <c r="BS125" i="1"/>
  <c r="BQ125" i="1"/>
  <c r="BM125" i="1"/>
  <c r="BK125" i="1"/>
  <c r="BI125" i="1"/>
  <c r="BG125" i="1"/>
  <c r="BE125" i="1"/>
  <c r="BC125" i="1"/>
  <c r="BA125" i="1"/>
  <c r="AY125" i="1"/>
  <c r="AW125" i="1"/>
  <c r="AU125" i="1"/>
  <c r="AQ125" i="1"/>
  <c r="AN125" i="1"/>
  <c r="N125" i="1"/>
  <c r="BW123" i="1"/>
  <c r="BS123" i="1"/>
  <c r="BQ123" i="1"/>
  <c r="BM123" i="1"/>
  <c r="BE123" i="1"/>
  <c r="BC123" i="1"/>
  <c r="AY123" i="1"/>
  <c r="AW123" i="1"/>
  <c r="W123" i="1"/>
  <c r="Q123" i="1"/>
  <c r="U123" i="1" s="1"/>
  <c r="P123" i="1"/>
  <c r="N123" i="1" s="1"/>
  <c r="K123" i="1"/>
  <c r="BA123" i="1" s="1"/>
  <c r="J123" i="1"/>
  <c r="H123" i="1" s="1"/>
  <c r="E123" i="1"/>
  <c r="CJ122" i="1"/>
  <c r="CH122" i="1" s="1"/>
  <c r="CD122" i="1"/>
  <c r="CB122" i="1"/>
  <c r="BW122" i="1"/>
  <c r="BR122" i="1"/>
  <c r="BS122" i="1" s="1"/>
  <c r="BQ122" i="1"/>
  <c r="BL122" i="1"/>
  <c r="BF122" i="1"/>
  <c r="BB122" i="1"/>
  <c r="BC122" i="1" s="1"/>
  <c r="AY122" i="1"/>
  <c r="AW122" i="1"/>
  <c r="AT122" i="1"/>
  <c r="AO122" i="1"/>
  <c r="AE122" i="1"/>
  <c r="AB122" i="1"/>
  <c r="S122" i="1"/>
  <c r="Q122" i="1"/>
  <c r="N122" i="1"/>
  <c r="K122" i="1"/>
  <c r="J122" i="1"/>
  <c r="H122" i="1"/>
  <c r="E122" i="1"/>
  <c r="BJ121" i="1"/>
  <c r="BV121" i="1" s="1"/>
  <c r="BW121" i="1" s="1"/>
  <c r="BF121" i="1"/>
  <c r="AX121" i="1"/>
  <c r="BP121" i="1" s="1"/>
  <c r="BQ121" i="1" s="1"/>
  <c r="AS121" i="1"/>
  <c r="AK121" i="1"/>
  <c r="S121" i="1"/>
  <c r="K121" i="1"/>
  <c r="AX120" i="1"/>
  <c r="BD120" i="1" s="1"/>
  <c r="AS120" i="1"/>
  <c r="AK120" i="1"/>
  <c r="S120" i="1"/>
  <c r="K120" i="1"/>
  <c r="BJ119" i="1"/>
  <c r="BV119" i="1" s="1"/>
  <c r="BF119" i="1"/>
  <c r="AX119" i="1"/>
  <c r="BP119" i="1" s="1"/>
  <c r="BQ119" i="1" s="1"/>
  <c r="AS119" i="1"/>
  <c r="AK119" i="1"/>
  <c r="Q119" i="1"/>
  <c r="P119" i="1"/>
  <c r="N119" i="1"/>
  <c r="K119" i="1"/>
  <c r="BV118" i="1"/>
  <c r="BW118" i="1" s="1"/>
  <c r="BR118" i="1"/>
  <c r="BF118" i="1"/>
  <c r="BC118" i="1"/>
  <c r="AX118" i="1"/>
  <c r="BP118" i="1" s="1"/>
  <c r="BL118" i="1" s="1"/>
  <c r="AW118" i="1"/>
  <c r="AS118" i="1"/>
  <c r="AK118" i="1"/>
  <c r="Q118" i="1"/>
  <c r="P118" i="1"/>
  <c r="N118" i="1" s="1"/>
  <c r="K118" i="1"/>
  <c r="AX117" i="1"/>
  <c r="BD117" i="1" s="1"/>
  <c r="AT117" i="1"/>
  <c r="AS117" i="1"/>
  <c r="AK117" i="1"/>
  <c r="S117" i="1"/>
  <c r="K117" i="1"/>
  <c r="BB116" i="1"/>
  <c r="AW116" i="1"/>
  <c r="AR116" i="1"/>
  <c r="AQ116" i="1"/>
  <c r="AK116" i="1" s="1"/>
  <c r="AO116" i="1"/>
  <c r="AL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M116" i="1"/>
  <c r="BV115" i="1"/>
  <c r="BW115" i="1" s="1"/>
  <c r="BF115" i="1"/>
  <c r="AX115" i="1"/>
  <c r="BK115" i="1" s="1"/>
  <c r="AT115" i="1"/>
  <c r="AS115" i="1"/>
  <c r="AK115" i="1"/>
  <c r="AD115" i="1"/>
  <c r="Z115" i="1" s="1"/>
  <c r="AA115" i="1" s="1"/>
  <c r="Y115" i="1"/>
  <c r="T115" i="1"/>
  <c r="U115" i="1" s="1"/>
  <c r="Q115" i="1"/>
  <c r="P115" i="1"/>
  <c r="N115" i="1"/>
  <c r="K115" i="1"/>
  <c r="BV114" i="1"/>
  <c r="BW114" i="1" s="1"/>
  <c r="BR114" i="1"/>
  <c r="BP114" i="1"/>
  <c r="BQ114" i="1" s="1"/>
  <c r="BK114" i="1"/>
  <c r="BF114" i="1"/>
  <c r="BD114" i="1"/>
  <c r="BE114" i="1" s="1"/>
  <c r="BC114" i="1"/>
  <c r="AY114" i="1"/>
  <c r="AW114" i="1"/>
  <c r="AT114" i="1"/>
  <c r="AS114" i="1"/>
  <c r="AK114" i="1"/>
  <c r="AD114" i="1"/>
  <c r="Z114" i="1" s="1"/>
  <c r="Y114" i="1"/>
  <c r="T114" i="1"/>
  <c r="Q114" i="1"/>
  <c r="P114" i="1"/>
  <c r="N114" i="1" s="1"/>
  <c r="K114" i="1"/>
  <c r="BJ113" i="1"/>
  <c r="BD113" i="1"/>
  <c r="BC113" i="1"/>
  <c r="AY113" i="1"/>
  <c r="AW113" i="1"/>
  <c r="AT113" i="1"/>
  <c r="AK113" i="1"/>
  <c r="X113" i="1"/>
  <c r="T113" i="1" s="1"/>
  <c r="Q113" i="1"/>
  <c r="P113" i="1"/>
  <c r="N113" i="1" s="1"/>
  <c r="K113" i="1"/>
  <c r="BJ112" i="1"/>
  <c r="BF112" i="1" s="1"/>
  <c r="AQ112" i="1"/>
  <c r="Q112" i="1"/>
  <c r="M112" i="1"/>
  <c r="AS112" i="1" s="1"/>
  <c r="K112" i="1"/>
  <c r="BB111" i="1"/>
  <c r="BC111" i="1" s="1"/>
  <c r="AV111" i="1"/>
  <c r="AW111" i="1" s="1"/>
  <c r="AR111" i="1"/>
  <c r="AP111" i="1"/>
  <c r="AO111" i="1"/>
  <c r="AN111" i="1"/>
  <c r="AL111" i="1"/>
  <c r="AJ111" i="1"/>
  <c r="AI111" i="1"/>
  <c r="AH111" i="1"/>
  <c r="AG111" i="1"/>
  <c r="AF111" i="1"/>
  <c r="AE111" i="1"/>
  <c r="AC111" i="1"/>
  <c r="AB111" i="1"/>
  <c r="W111" i="1"/>
  <c r="V111" i="1"/>
  <c r="S111" i="1"/>
  <c r="Q111" i="1" s="1"/>
  <c r="AX110" i="1"/>
  <c r="AQ110" i="1" s="1"/>
  <c r="S110" i="1"/>
  <c r="P110" i="1" s="1"/>
  <c r="N110" i="1" s="1"/>
  <c r="K110" i="1"/>
  <c r="AX109" i="1"/>
  <c r="AD109" i="1"/>
  <c r="Z109" i="1" s="1"/>
  <c r="AA109" i="1"/>
  <c r="Y109" i="1"/>
  <c r="T109" i="1"/>
  <c r="U109" i="1" s="1"/>
  <c r="Q109" i="1"/>
  <c r="M109" i="1"/>
  <c r="BD108" i="1"/>
  <c r="BC108" i="1"/>
  <c r="AW108" i="1"/>
  <c r="AT108" i="1"/>
  <c r="AQ108" i="1"/>
  <c r="AK108" i="1" s="1"/>
  <c r="S108" i="1"/>
  <c r="BJ108" i="1" s="1"/>
  <c r="K108" i="1"/>
  <c r="X107" i="1"/>
  <c r="Q107" i="1"/>
  <c r="M107" i="1"/>
  <c r="K107" i="1" s="1"/>
  <c r="BW106" i="1"/>
  <c r="BQ106" i="1"/>
  <c r="BF106" i="1"/>
  <c r="BD106" i="1"/>
  <c r="BE106" i="1" s="1"/>
  <c r="BC106" i="1"/>
  <c r="AW106" i="1"/>
  <c r="AT106" i="1"/>
  <c r="AQ106" i="1"/>
  <c r="AS106" i="1" s="1"/>
  <c r="AS105" i="1" s="1"/>
  <c r="AD106" i="1"/>
  <c r="Y106" i="1"/>
  <c r="Y105" i="1" s="1"/>
  <c r="T106" i="1"/>
  <c r="U106" i="1" s="1"/>
  <c r="U105" i="1" s="1"/>
  <c r="Q106" i="1"/>
  <c r="P106" i="1"/>
  <c r="N106" i="1"/>
  <c r="K106" i="1"/>
  <c r="BS106" i="1" s="1"/>
  <c r="BB105" i="1"/>
  <c r="BC105" i="1" s="1"/>
  <c r="AV105" i="1"/>
  <c r="AW105" i="1" s="1"/>
  <c r="AR105" i="1"/>
  <c r="AP105" i="1"/>
  <c r="AO105" i="1"/>
  <c r="AN105" i="1"/>
  <c r="AL105" i="1"/>
  <c r="AJ105" i="1"/>
  <c r="AI105" i="1"/>
  <c r="AH105" i="1"/>
  <c r="AG105" i="1"/>
  <c r="AF105" i="1"/>
  <c r="AE105" i="1"/>
  <c r="AC105" i="1"/>
  <c r="AB105" i="1"/>
  <c r="W105" i="1"/>
  <c r="V105" i="1"/>
  <c r="CJ104" i="1"/>
  <c r="CD104" i="1"/>
  <c r="CB104" i="1"/>
  <c r="BB104" i="1"/>
  <c r="AO104" i="1"/>
  <c r="AE104" i="1"/>
  <c r="AB104" i="1"/>
  <c r="E104" i="1"/>
  <c r="CJ103" i="1"/>
  <c r="CH103" i="1" s="1"/>
  <c r="CE103" i="1"/>
  <c r="CB103" i="1"/>
  <c r="BZ103" i="1" s="1"/>
  <c r="BT103" i="1"/>
  <c r="BR103" i="1" s="1"/>
  <c r="BN103" i="1"/>
  <c r="BL103" i="1" s="1"/>
  <c r="BI103" i="1"/>
  <c r="BF103" i="1"/>
  <c r="BB103" i="1"/>
  <c r="AW103" i="1"/>
  <c r="AT103" i="1"/>
  <c r="AR103" i="1"/>
  <c r="AP103" i="1"/>
  <c r="AO103" i="1"/>
  <c r="AK103" i="1"/>
  <c r="AK23" i="1" s="1"/>
  <c r="AH103" i="1"/>
  <c r="AE103" i="1"/>
  <c r="AB103" i="1"/>
  <c r="AC103" i="1" s="1"/>
  <c r="W103" i="1"/>
  <c r="T103" i="1"/>
  <c r="Q103" i="1"/>
  <c r="O103" i="1"/>
  <c r="N103" i="1"/>
  <c r="K103" i="1"/>
  <c r="J103" i="1"/>
  <c r="I103" i="1"/>
  <c r="E103" i="1"/>
  <c r="CJ102" i="1"/>
  <c r="CH102" i="1" s="1"/>
  <c r="CF102" i="1" s="1"/>
  <c r="CC102" i="1"/>
  <c r="CB102" i="1"/>
  <c r="BZ102" i="1"/>
  <c r="CA102" i="1" s="1"/>
  <c r="BY102" i="1"/>
  <c r="CE102" i="1" s="1"/>
  <c r="BT102" i="1"/>
  <c r="BU102" i="1" s="1"/>
  <c r="BF102" i="1"/>
  <c r="BE102" i="1"/>
  <c r="BD102" i="1"/>
  <c r="AV102" i="1"/>
  <c r="BB102" i="1" s="1"/>
  <c r="AR102" i="1"/>
  <c r="AP102" i="1"/>
  <c r="AO102" i="1"/>
  <c r="AK102" i="1"/>
  <c r="AH102" i="1"/>
  <c r="AE102" i="1"/>
  <c r="AB102" i="1"/>
  <c r="Y102" i="1"/>
  <c r="W102" i="1"/>
  <c r="U102" i="1"/>
  <c r="Q102" i="1"/>
  <c r="O102" i="1"/>
  <c r="N102" i="1"/>
  <c r="K102" i="1"/>
  <c r="I102" i="1"/>
  <c r="H102" i="1" s="1"/>
  <c r="E102" i="1"/>
  <c r="CJ101" i="1"/>
  <c r="CH101" i="1" s="1"/>
  <c r="CF101" i="1" s="1"/>
  <c r="CC101" i="1"/>
  <c r="CB101" i="1"/>
  <c r="BZ101" i="1"/>
  <c r="BY101" i="1"/>
  <c r="CE101" i="1" s="1"/>
  <c r="BT101" i="1"/>
  <c r="BU101" i="1" s="1"/>
  <c r="BF101" i="1"/>
  <c r="BD101" i="1"/>
  <c r="BE101" i="1" s="1"/>
  <c r="AV101" i="1"/>
  <c r="BB101" i="1" s="1"/>
  <c r="AR101" i="1"/>
  <c r="AP101" i="1"/>
  <c r="AO101" i="1"/>
  <c r="AK101" i="1"/>
  <c r="AH101" i="1"/>
  <c r="AE101" i="1"/>
  <c r="AB101" i="1"/>
  <c r="Y101" i="1"/>
  <c r="W101" i="1"/>
  <c r="Q101" i="1"/>
  <c r="U101" i="1" s="1"/>
  <c r="O101" i="1"/>
  <c r="N101" i="1" s="1"/>
  <c r="K101" i="1"/>
  <c r="I101" i="1"/>
  <c r="H101" i="1" s="1"/>
  <c r="E101" i="1"/>
  <c r="CJ100" i="1"/>
  <c r="CH100" i="1" s="1"/>
  <c r="CE100" i="1"/>
  <c r="CB100" i="1"/>
  <c r="BZ100" i="1" s="1"/>
  <c r="BL100" i="1"/>
  <c r="BH100" i="1"/>
  <c r="AX100" i="1"/>
  <c r="BD100" i="1" s="1"/>
  <c r="BE100" i="1" s="1"/>
  <c r="AR100" i="1"/>
  <c r="AN100" i="1"/>
  <c r="AK100" i="1" s="1"/>
  <c r="AI100" i="1"/>
  <c r="AH100" i="1" s="1"/>
  <c r="AF100" i="1"/>
  <c r="AE100" i="1"/>
  <c r="X100" i="1"/>
  <c r="V100" i="1"/>
  <c r="T100" i="1"/>
  <c r="R100" i="1"/>
  <c r="Q100" i="1" s="1"/>
  <c r="L100" i="1"/>
  <c r="K100" i="1" s="1"/>
  <c r="F100" i="1"/>
  <c r="CJ99" i="1"/>
  <c r="CH99" i="1" s="1"/>
  <c r="CF99" i="1" s="1"/>
  <c r="CC99" i="1"/>
  <c r="CB99" i="1"/>
  <c r="BZ99" i="1" s="1"/>
  <c r="BY99" i="1"/>
  <c r="CE99" i="1" s="1"/>
  <c r="BT99" i="1"/>
  <c r="BR99" i="1" s="1"/>
  <c r="BI99" i="1"/>
  <c r="BF99" i="1"/>
  <c r="BD99" i="1"/>
  <c r="AV99" i="1"/>
  <c r="AT99" i="1"/>
  <c r="AU99" i="1" s="1"/>
  <c r="AR99" i="1"/>
  <c r="AO99" i="1"/>
  <c r="AK99" i="1"/>
  <c r="AH99" i="1"/>
  <c r="AE99" i="1"/>
  <c r="AB99" i="1"/>
  <c r="Y99" i="1"/>
  <c r="W99" i="1"/>
  <c r="Q99" i="1"/>
  <c r="U99" i="1" s="1"/>
  <c r="O99" i="1"/>
  <c r="N99" i="1" s="1"/>
  <c r="K99" i="1"/>
  <c r="I99" i="1"/>
  <c r="H99" i="1"/>
  <c r="E99" i="1"/>
  <c r="CJ98" i="1"/>
  <c r="CH98" i="1" s="1"/>
  <c r="CF98" i="1" s="1"/>
  <c r="CC98" i="1"/>
  <c r="CB98" i="1"/>
  <c r="BZ98" i="1"/>
  <c r="BY98" i="1"/>
  <c r="CE98" i="1" s="1"/>
  <c r="BT98" i="1"/>
  <c r="BU98" i="1" s="1"/>
  <c r="BF98" i="1"/>
  <c r="BD98" i="1"/>
  <c r="AV98" i="1"/>
  <c r="BN98" i="1" s="1"/>
  <c r="AR98" i="1"/>
  <c r="AO98" i="1"/>
  <c r="AK98" i="1"/>
  <c r="AH98" i="1"/>
  <c r="AE98" i="1"/>
  <c r="AB98" i="1"/>
  <c r="Z98" i="1" s="1"/>
  <c r="Y98" i="1"/>
  <c r="W98" i="1"/>
  <c r="Q98" i="1"/>
  <c r="U98" i="1" s="1"/>
  <c r="O98" i="1"/>
  <c r="N98" i="1"/>
  <c r="K98" i="1"/>
  <c r="I98" i="1"/>
  <c r="H98" i="1" s="1"/>
  <c r="E98" i="1"/>
  <c r="CJ97" i="1"/>
  <c r="CH97" i="1" s="1"/>
  <c r="CE97" i="1"/>
  <c r="CC97" i="1"/>
  <c r="CB97" i="1"/>
  <c r="BZ97" i="1"/>
  <c r="BL97" i="1"/>
  <c r="BH97" i="1"/>
  <c r="BF97" i="1" s="1"/>
  <c r="AX97" i="1"/>
  <c r="BD97" i="1" s="1"/>
  <c r="AR97" i="1"/>
  <c r="AN97" i="1"/>
  <c r="AI97" i="1"/>
  <c r="AH97" i="1" s="1"/>
  <c r="AF97" i="1"/>
  <c r="AE97" i="1" s="1"/>
  <c r="X97" i="1"/>
  <c r="V97" i="1"/>
  <c r="W97" i="1" s="1"/>
  <c r="T97" i="1"/>
  <c r="R97" i="1"/>
  <c r="Q97" i="1" s="1"/>
  <c r="L97" i="1"/>
  <c r="I97" i="1"/>
  <c r="H97" i="1" s="1"/>
  <c r="F97" i="1"/>
  <c r="E97" i="1" s="1"/>
  <c r="CJ96" i="1"/>
  <c r="CH96" i="1" s="1"/>
  <c r="CF96" i="1" s="1"/>
  <c r="CB96" i="1"/>
  <c r="BY96" i="1"/>
  <c r="CE96" i="1" s="1"/>
  <c r="BT96" i="1"/>
  <c r="BF96" i="1"/>
  <c r="BD96" i="1"/>
  <c r="BE96" i="1" s="1"/>
  <c r="AZ96" i="1"/>
  <c r="BA96" i="1" s="1"/>
  <c r="AW96" i="1"/>
  <c r="AV96" i="1"/>
  <c r="BB96" i="1" s="1"/>
  <c r="BC96" i="1" s="1"/>
  <c r="AR96" i="1"/>
  <c r="AO96" i="1"/>
  <c r="AK96" i="1"/>
  <c r="AH96" i="1"/>
  <c r="AE96" i="1"/>
  <c r="AB96" i="1"/>
  <c r="Y96" i="1"/>
  <c r="W96" i="1"/>
  <c r="Q96" i="1"/>
  <c r="U96" i="1" s="1"/>
  <c r="O96" i="1"/>
  <c r="N96" i="1" s="1"/>
  <c r="K96" i="1"/>
  <c r="I96" i="1"/>
  <c r="H96" i="1" s="1"/>
  <c r="E96" i="1"/>
  <c r="CJ95" i="1"/>
  <c r="CH95" i="1" s="1"/>
  <c r="CF95" i="1" s="1"/>
  <c r="CC95" i="1"/>
  <c r="CB95" i="1"/>
  <c r="BZ95" i="1"/>
  <c r="BY95" i="1"/>
  <c r="CE95" i="1" s="1"/>
  <c r="BT95" i="1"/>
  <c r="BF95" i="1"/>
  <c r="BD95" i="1"/>
  <c r="BE95" i="1" s="1"/>
  <c r="AV95" i="1"/>
  <c r="BB95" i="1" s="1"/>
  <c r="AR95" i="1"/>
  <c r="AP95" i="1"/>
  <c r="AO95" i="1"/>
  <c r="AK95" i="1"/>
  <c r="AH95" i="1"/>
  <c r="AE95" i="1"/>
  <c r="AB95" i="1"/>
  <c r="Y95" i="1"/>
  <c r="W95" i="1"/>
  <c r="Q95" i="1"/>
  <c r="U95" i="1" s="1"/>
  <c r="O95" i="1"/>
  <c r="N95" i="1"/>
  <c r="K95" i="1"/>
  <c r="I95" i="1"/>
  <c r="H95" i="1" s="1"/>
  <c r="E95" i="1"/>
  <c r="CJ94" i="1"/>
  <c r="CC94" i="1"/>
  <c r="CB94" i="1"/>
  <c r="BZ94" i="1"/>
  <c r="BY94" i="1"/>
  <c r="CE94" i="1" s="1"/>
  <c r="BL94" i="1"/>
  <c r="BH94" i="1"/>
  <c r="BF94" i="1"/>
  <c r="AX94" i="1"/>
  <c r="BD94" i="1" s="1"/>
  <c r="BE94" i="1" s="1"/>
  <c r="AR94" i="1"/>
  <c r="AN94" i="1"/>
  <c r="AI94" i="1"/>
  <c r="AH94" i="1" s="1"/>
  <c r="AF94" i="1"/>
  <c r="AE94" i="1" s="1"/>
  <c r="X94" i="1"/>
  <c r="Y94" i="1" s="1"/>
  <c r="V94" i="1"/>
  <c r="T94" i="1"/>
  <c r="R94" i="1"/>
  <c r="L94" i="1"/>
  <c r="F94" i="1"/>
  <c r="E94" i="1" s="1"/>
  <c r="CJ93" i="1"/>
  <c r="CH93" i="1" s="1"/>
  <c r="CF93" i="1" s="1"/>
  <c r="CB93" i="1"/>
  <c r="BH93" i="1"/>
  <c r="BF93" i="1" s="1"/>
  <c r="AV93" i="1"/>
  <c r="AT93" i="1" s="1"/>
  <c r="AR93" i="1"/>
  <c r="AP93" i="1"/>
  <c r="AO93" i="1"/>
  <c r="AK93" i="1"/>
  <c r="AH93" i="1"/>
  <c r="AE93" i="1"/>
  <c r="Y93" i="1"/>
  <c r="W93" i="1"/>
  <c r="T93" i="1"/>
  <c r="S93" i="1"/>
  <c r="BY93" i="1" s="1"/>
  <c r="CE93" i="1" s="1"/>
  <c r="Q93" i="1"/>
  <c r="L93" i="1"/>
  <c r="K93" i="1"/>
  <c r="J93" i="1"/>
  <c r="E93" i="1"/>
  <c r="CJ92" i="1"/>
  <c r="CH92" i="1"/>
  <c r="CF92" i="1" s="1"/>
  <c r="CB92" i="1"/>
  <c r="CC92" i="1" s="1"/>
  <c r="BZ92" i="1"/>
  <c r="BY92" i="1"/>
  <c r="CE92" i="1" s="1"/>
  <c r="BH92" i="1"/>
  <c r="BD92" i="1"/>
  <c r="BD90" i="1" s="1"/>
  <c r="AV92" i="1"/>
  <c r="AR92" i="1"/>
  <c r="AP92" i="1"/>
  <c r="AO92" i="1"/>
  <c r="AK92" i="1"/>
  <c r="AL92" i="1" s="1"/>
  <c r="AH92" i="1"/>
  <c r="AE92" i="1"/>
  <c r="AB92" i="1"/>
  <c r="Z92" i="1" s="1"/>
  <c r="Y92" i="1"/>
  <c r="W92" i="1"/>
  <c r="T92" i="1"/>
  <c r="Q92" i="1"/>
  <c r="O92" i="1"/>
  <c r="N92" i="1" s="1"/>
  <c r="K92" i="1"/>
  <c r="I92" i="1"/>
  <c r="E92" i="1"/>
  <c r="CJ91" i="1"/>
  <c r="CH91" i="1" s="1"/>
  <c r="CF91" i="1" s="1"/>
  <c r="CB91" i="1"/>
  <c r="BY91" i="1"/>
  <c r="CE91" i="1" s="1"/>
  <c r="BT91" i="1"/>
  <c r="BR91" i="1" s="1"/>
  <c r="BL91" i="1"/>
  <c r="BF91" i="1"/>
  <c r="BG91" i="1" s="1"/>
  <c r="BD91" i="1"/>
  <c r="AW91" i="1"/>
  <c r="AT91" i="1"/>
  <c r="AR91" i="1"/>
  <c r="AO91" i="1"/>
  <c r="AK91" i="1"/>
  <c r="AH91" i="1"/>
  <c r="AE91" i="1"/>
  <c r="AB91" i="1"/>
  <c r="Y91" i="1"/>
  <c r="R91" i="1"/>
  <c r="N91" i="1"/>
  <c r="K91" i="1"/>
  <c r="I91" i="1"/>
  <c r="H91" i="1" s="1"/>
  <c r="E91" i="1"/>
  <c r="CJ90" i="1"/>
  <c r="CH90" i="1" s="1"/>
  <c r="CF90" i="1" s="1"/>
  <c r="CC90" i="1"/>
  <c r="CB90" i="1"/>
  <c r="BZ90" i="1"/>
  <c r="AX90" i="1"/>
  <c r="AX89" i="1" s="1"/>
  <c r="AR90" i="1"/>
  <c r="AN90" i="1"/>
  <c r="AI90" i="1"/>
  <c r="AI89" i="1" s="1"/>
  <c r="AH90" i="1"/>
  <c r="AF90" i="1"/>
  <c r="AE90" i="1" s="1"/>
  <c r="X90" i="1"/>
  <c r="V90" i="1"/>
  <c r="V89" i="1" s="1"/>
  <c r="S90" i="1"/>
  <c r="R90" i="1"/>
  <c r="AP90" i="1" s="1"/>
  <c r="M90" i="1"/>
  <c r="M89" i="1" s="1"/>
  <c r="J90" i="1"/>
  <c r="G90" i="1"/>
  <c r="G89" i="1" s="1"/>
  <c r="F90" i="1"/>
  <c r="E90" i="1" s="1"/>
  <c r="CJ89" i="1"/>
  <c r="CH89" i="1" s="1"/>
  <c r="CE89" i="1"/>
  <c r="CB89" i="1"/>
  <c r="CC89" i="1" s="1"/>
  <c r="BZ89" i="1"/>
  <c r="AR89" i="1"/>
  <c r="AN89" i="1"/>
  <c r="R89" i="1"/>
  <c r="J89" i="1"/>
  <c r="CJ88" i="1"/>
  <c r="CH88" i="1"/>
  <c r="CF88" i="1" s="1"/>
  <c r="CE88" i="1"/>
  <c r="CB88" i="1"/>
  <c r="CC88" i="1" s="1"/>
  <c r="BZ88" i="1"/>
  <c r="CA88" i="1" s="1"/>
  <c r="BY88" i="1"/>
  <c r="BR88" i="1"/>
  <c r="BS88" i="1" s="1"/>
  <c r="BL88" i="1"/>
  <c r="BF88" i="1"/>
  <c r="BD88" i="1"/>
  <c r="BB88" i="1"/>
  <c r="AZ88" i="1" s="1"/>
  <c r="BA88" i="1" s="1"/>
  <c r="AW88" i="1"/>
  <c r="AT88" i="1"/>
  <c r="AR88" i="1"/>
  <c r="AP88" i="1"/>
  <c r="AO88" i="1"/>
  <c r="AK88" i="1"/>
  <c r="AH88" i="1"/>
  <c r="AE88" i="1"/>
  <c r="AB88" i="1"/>
  <c r="Y88" i="1"/>
  <c r="W88" i="1"/>
  <c r="T88" i="1"/>
  <c r="Q88" i="1"/>
  <c r="O88" i="1"/>
  <c r="N88" i="1" s="1"/>
  <c r="K88" i="1"/>
  <c r="F88" i="1"/>
  <c r="CJ87" i="1"/>
  <c r="CH87" i="1" s="1"/>
  <c r="CF87" i="1" s="1"/>
  <c r="CB87" i="1"/>
  <c r="BY87" i="1"/>
  <c r="CE87" i="1" s="1"/>
  <c r="BR87" i="1"/>
  <c r="BL87" i="1"/>
  <c r="BF87" i="1"/>
  <c r="BD87" i="1"/>
  <c r="BD85" i="1" s="1"/>
  <c r="BB87" i="1"/>
  <c r="BC87" i="1" s="1"/>
  <c r="AW87" i="1"/>
  <c r="AT87" i="1"/>
  <c r="AR87" i="1"/>
  <c r="AP87" i="1"/>
  <c r="AO87" i="1"/>
  <c r="AK87" i="1"/>
  <c r="AH87" i="1"/>
  <c r="AE87" i="1"/>
  <c r="AB87" i="1"/>
  <c r="Y87" i="1"/>
  <c r="W87" i="1"/>
  <c r="T87" i="1"/>
  <c r="Q87" i="1"/>
  <c r="O87" i="1"/>
  <c r="K87" i="1"/>
  <c r="I87" i="1"/>
  <c r="H87" i="1" s="1"/>
  <c r="E87" i="1"/>
  <c r="CJ86" i="1"/>
  <c r="CH86" i="1" s="1"/>
  <c r="CF86" i="1" s="1"/>
  <c r="CB86" i="1"/>
  <c r="BY86" i="1"/>
  <c r="CE86" i="1" s="1"/>
  <c r="BR86" i="1"/>
  <c r="BS86" i="1" s="1"/>
  <c r="BL86" i="1"/>
  <c r="BF86" i="1"/>
  <c r="BD86" i="1"/>
  <c r="AW86" i="1"/>
  <c r="AT86" i="1"/>
  <c r="AU86" i="1" s="1"/>
  <c r="AR86" i="1"/>
  <c r="AO86" i="1"/>
  <c r="AK86" i="1"/>
  <c r="AH86" i="1"/>
  <c r="AE86" i="1"/>
  <c r="Y86" i="1"/>
  <c r="R86" i="1"/>
  <c r="V86" i="1" s="1"/>
  <c r="N86" i="1"/>
  <c r="K86" i="1"/>
  <c r="F86" i="1"/>
  <c r="CJ85" i="1"/>
  <c r="CH85" i="1" s="1"/>
  <c r="CF85" i="1" s="1"/>
  <c r="CB85" i="1"/>
  <c r="BT85" i="1"/>
  <c r="BN85" i="1"/>
  <c r="BN84" i="1" s="1"/>
  <c r="BL85" i="1"/>
  <c r="BH85" i="1"/>
  <c r="AX85" i="1"/>
  <c r="AX84" i="1" s="1"/>
  <c r="AV85" i="1"/>
  <c r="AT85" i="1"/>
  <c r="AR85" i="1"/>
  <c r="AN85" i="1"/>
  <c r="AI85" i="1"/>
  <c r="AI84" i="1" s="1"/>
  <c r="AH84" i="1" s="1"/>
  <c r="AH85" i="1"/>
  <c r="AF85" i="1"/>
  <c r="AE85" i="1" s="1"/>
  <c r="X85" i="1"/>
  <c r="X23" i="1" s="1"/>
  <c r="Y23" i="1" s="1"/>
  <c r="V85" i="1"/>
  <c r="W85" i="1" s="1"/>
  <c r="T85" i="1"/>
  <c r="S85" i="1"/>
  <c r="BY85" i="1" s="1"/>
  <c r="CE85" i="1" s="1"/>
  <c r="R85" i="1"/>
  <c r="Q85" i="1"/>
  <c r="M85" i="1"/>
  <c r="K85" i="1" s="1"/>
  <c r="L85" i="1"/>
  <c r="G85" i="1"/>
  <c r="F85" i="1"/>
  <c r="CJ84" i="1"/>
  <c r="CH84" i="1"/>
  <c r="CE84" i="1"/>
  <c r="CB84" i="1"/>
  <c r="CC84" i="1" s="1"/>
  <c r="BZ84" i="1"/>
  <c r="AV84" i="1"/>
  <c r="AR84" i="1"/>
  <c r="AF84" i="1"/>
  <c r="S84" i="1"/>
  <c r="G84" i="1"/>
  <c r="CB83" i="1"/>
  <c r="CC83" i="1" s="1"/>
  <c r="CA83" i="1"/>
  <c r="CD82" i="1"/>
  <c r="CE82" i="1" s="1"/>
  <c r="CB82" i="1"/>
  <c r="BV82" i="1"/>
  <c r="BP82" i="1"/>
  <c r="BJ82" i="1"/>
  <c r="AQ82" i="1"/>
  <c r="AN82" i="1"/>
  <c r="AJ82" i="1"/>
  <c r="AG82" i="1"/>
  <c r="AD82" i="1"/>
  <c r="P82" i="1"/>
  <c r="P20" i="1" s="1"/>
  <c r="J82" i="1"/>
  <c r="H82" i="1" s="1"/>
  <c r="I82" i="1"/>
  <c r="G82" i="1"/>
  <c r="F82" i="1"/>
  <c r="CJ81" i="1"/>
  <c r="CH81" i="1"/>
  <c r="CE81" i="1"/>
  <c r="CB81" i="1"/>
  <c r="CC81" i="1" s="1"/>
  <c r="BZ81" i="1"/>
  <c r="BT81" i="1"/>
  <c r="BU81" i="1" s="1"/>
  <c r="BR81" i="1"/>
  <c r="BS81" i="1" s="1"/>
  <c r="BN81" i="1"/>
  <c r="BO81" i="1" s="1"/>
  <c r="BL81" i="1"/>
  <c r="BM81" i="1" s="1"/>
  <c r="BI81" i="1"/>
  <c r="BF81" i="1"/>
  <c r="BB81" i="1"/>
  <c r="BC81" i="1" s="1"/>
  <c r="AW81" i="1"/>
  <c r="AT81" i="1"/>
  <c r="AR81" i="1"/>
  <c r="AP81" i="1"/>
  <c r="AO81" i="1"/>
  <c r="AK81" i="1"/>
  <c r="AH81" i="1"/>
  <c r="AE81" i="1"/>
  <c r="AB81" i="1"/>
  <c r="W81" i="1"/>
  <c r="T81" i="1"/>
  <c r="S81" i="1"/>
  <c r="Q81" i="1"/>
  <c r="U81" i="1" s="1"/>
  <c r="O81" i="1"/>
  <c r="N81" i="1" s="1"/>
  <c r="K81" i="1"/>
  <c r="J81" i="1"/>
  <c r="I81" i="1"/>
  <c r="H81" i="1" s="1"/>
  <c r="E81" i="1"/>
  <c r="BN80" i="1"/>
  <c r="BI80" i="1"/>
  <c r="BF80" i="1"/>
  <c r="AT80" i="1"/>
  <c r="AP80" i="1"/>
  <c r="AK80" i="1"/>
  <c r="AM80" i="1" s="1"/>
  <c r="AB80" i="1"/>
  <c r="Q80" i="1"/>
  <c r="N80" i="1"/>
  <c r="L80" i="1"/>
  <c r="CB79" i="1"/>
  <c r="BZ79" i="1" s="1"/>
  <c r="BY79" i="1"/>
  <c r="CE79" i="1" s="1"/>
  <c r="BT79" i="1"/>
  <c r="BU79" i="1" s="1"/>
  <c r="BO79" i="1"/>
  <c r="BN79" i="1"/>
  <c r="BL79" i="1"/>
  <c r="BI79" i="1"/>
  <c r="BF79" i="1"/>
  <c r="BG79" i="1" s="1"/>
  <c r="BB79" i="1"/>
  <c r="BC79" i="1" s="1"/>
  <c r="AW79" i="1"/>
  <c r="AT79" i="1"/>
  <c r="AR79" i="1"/>
  <c r="AP79" i="1"/>
  <c r="AO79" i="1"/>
  <c r="AK79" i="1"/>
  <c r="AB79" i="1"/>
  <c r="Z79" i="1" s="1"/>
  <c r="Y79" i="1"/>
  <c r="W79" i="1"/>
  <c r="T79" i="1"/>
  <c r="Q79" i="1"/>
  <c r="O79" i="1"/>
  <c r="N79" i="1"/>
  <c r="K79" i="1"/>
  <c r="AU79" i="1" s="1"/>
  <c r="CE78" i="1"/>
  <c r="CB78" i="1"/>
  <c r="CC78" i="1" s="1"/>
  <c r="BZ78" i="1"/>
  <c r="BH78" i="1"/>
  <c r="BF78" i="1" s="1"/>
  <c r="AV78" i="1"/>
  <c r="AT78" i="1" s="1"/>
  <c r="AR78" i="1"/>
  <c r="AO78" i="1"/>
  <c r="V78" i="1"/>
  <c r="R78" i="1"/>
  <c r="AP78" i="1" s="1"/>
  <c r="Q78" i="1"/>
  <c r="AM78" i="1" s="1"/>
  <c r="O78" i="1"/>
  <c r="N78" i="1" s="1"/>
  <c r="CC77" i="1"/>
  <c r="CB77" i="1"/>
  <c r="BY77" i="1"/>
  <c r="CE77" i="1" s="1"/>
  <c r="BH77" i="1"/>
  <c r="BE77" i="1"/>
  <c r="BB77" i="1"/>
  <c r="AW77" i="1"/>
  <c r="AT77" i="1"/>
  <c r="BM77" i="1" s="1"/>
  <c r="AR77" i="1"/>
  <c r="AP77" i="1"/>
  <c r="AO77" i="1"/>
  <c r="AL77" i="1"/>
  <c r="AB77" i="1"/>
  <c r="AC77" i="1" s="1"/>
  <c r="Y77" i="1"/>
  <c r="W77" i="1"/>
  <c r="Q77" i="1"/>
  <c r="Q76" i="1" s="1"/>
  <c r="O77" i="1"/>
  <c r="O76" i="1" s="1"/>
  <c r="N77" i="1"/>
  <c r="N76" i="1" s="1"/>
  <c r="K77" i="1"/>
  <c r="CB76" i="1"/>
  <c r="CC76" i="1" s="1"/>
  <c r="CA76" i="1"/>
  <c r="BY76" i="1"/>
  <c r="CE76" i="1" s="1"/>
  <c r="BE76" i="1"/>
  <c r="AV76" i="1"/>
  <c r="BI76" i="1" s="1"/>
  <c r="AT76" i="1"/>
  <c r="BM76" i="1" s="1"/>
  <c r="AR76" i="1"/>
  <c r="AO76" i="1"/>
  <c r="AM76" i="1"/>
  <c r="AB76" i="1"/>
  <c r="R76" i="1"/>
  <c r="AP76" i="1" s="1"/>
  <c r="L76" i="1"/>
  <c r="CC75" i="1"/>
  <c r="CB75" i="1"/>
  <c r="BY75" i="1"/>
  <c r="CE75" i="1" s="1"/>
  <c r="BI75" i="1"/>
  <c r="BH75" i="1"/>
  <c r="BT75" i="1" s="1"/>
  <c r="CA75" i="1" s="1"/>
  <c r="BF75" i="1"/>
  <c r="BB75" i="1"/>
  <c r="AZ75" i="1" s="1"/>
  <c r="AW75" i="1"/>
  <c r="AT75" i="1"/>
  <c r="AR75" i="1"/>
  <c r="AO75" i="1"/>
  <c r="AK75" i="1"/>
  <c r="AL75" i="1" s="1"/>
  <c r="AB75" i="1"/>
  <c r="AC75" i="1" s="1"/>
  <c r="Y75" i="1"/>
  <c r="W75" i="1"/>
  <c r="Q75" i="1"/>
  <c r="O75" i="1"/>
  <c r="K75" i="1"/>
  <c r="CB74" i="1"/>
  <c r="CC74" i="1" s="1"/>
  <c r="BY74" i="1"/>
  <c r="CE74" i="1" s="1"/>
  <c r="BT74" i="1"/>
  <c r="BH74" i="1"/>
  <c r="BF74" i="1" s="1"/>
  <c r="BB74" i="1"/>
  <c r="AV74" i="1"/>
  <c r="AR74" i="1"/>
  <c r="AO74" i="1"/>
  <c r="AK74" i="1"/>
  <c r="AL74" i="1" s="1"/>
  <c r="R74" i="1"/>
  <c r="L74" i="1"/>
  <c r="AB74" i="1" s="1"/>
  <c r="K74" i="1"/>
  <c r="CJ73" i="1"/>
  <c r="CH73" i="1"/>
  <c r="CF73" i="1"/>
  <c r="CB73" i="1"/>
  <c r="BY73" i="1"/>
  <c r="CE73" i="1" s="1"/>
  <c r="BN73" i="1"/>
  <c r="BH73" i="1"/>
  <c r="BF73" i="1" s="1"/>
  <c r="BD73" i="1"/>
  <c r="BB73" i="1"/>
  <c r="BC73" i="1" s="1"/>
  <c r="AW73" i="1"/>
  <c r="AT73" i="1"/>
  <c r="AR73" i="1"/>
  <c r="AP73" i="1"/>
  <c r="AO73" i="1"/>
  <c r="AK73" i="1"/>
  <c r="AI73" i="1"/>
  <c r="AH73" i="1" s="1"/>
  <c r="AE73" i="1"/>
  <c r="AB73" i="1"/>
  <c r="Y73" i="1"/>
  <c r="W73" i="1"/>
  <c r="T73" i="1"/>
  <c r="Q73" i="1"/>
  <c r="O73" i="1"/>
  <c r="K73" i="1"/>
  <c r="AU73" i="1" s="1"/>
  <c r="I73" i="1"/>
  <c r="H73" i="1" s="1"/>
  <c r="E73" i="1"/>
  <c r="CE72" i="1"/>
  <c r="CC72" i="1"/>
  <c r="CB72" i="1"/>
  <c r="BZ72" i="1"/>
  <c r="AV72" i="1"/>
  <c r="AR72" i="1"/>
  <c r="AO72" i="1"/>
  <c r="V72" i="1"/>
  <c r="T72" i="1" s="1"/>
  <c r="R72" i="1"/>
  <c r="L72" i="1"/>
  <c r="K72" i="1"/>
  <c r="CB71" i="1"/>
  <c r="BZ71" i="1" s="1"/>
  <c r="BY71" i="1"/>
  <c r="CE71" i="1" s="1"/>
  <c r="BH71" i="1"/>
  <c r="AP71" i="1"/>
  <c r="AO71" i="1"/>
  <c r="AK71" i="1"/>
  <c r="Y71" i="1"/>
  <c r="W71" i="1"/>
  <c r="T71" i="1"/>
  <c r="Q71" i="1"/>
  <c r="L71" i="1"/>
  <c r="AB71" i="1" s="1"/>
  <c r="K71" i="1"/>
  <c r="BH70" i="1"/>
  <c r="BT70" i="1" s="1"/>
  <c r="BF70" i="1"/>
  <c r="BA70" i="1"/>
  <c r="AV70" i="1"/>
  <c r="R70" i="1"/>
  <c r="K70" i="1"/>
  <c r="CJ69" i="1"/>
  <c r="CH69" i="1" s="1"/>
  <c r="CF69" i="1" s="1"/>
  <c r="CC69" i="1"/>
  <c r="CB69" i="1"/>
  <c r="BZ69" i="1"/>
  <c r="BY69" i="1"/>
  <c r="CE69" i="1" s="1"/>
  <c r="BT69" i="1"/>
  <c r="BF69" i="1"/>
  <c r="BD69" i="1"/>
  <c r="AV69" i="1"/>
  <c r="AR69" i="1"/>
  <c r="AP69" i="1"/>
  <c r="AO69" i="1"/>
  <c r="AK69" i="1"/>
  <c r="AH69" i="1"/>
  <c r="AE69" i="1"/>
  <c r="AB69" i="1"/>
  <c r="AC69" i="1" s="1"/>
  <c r="Z69" i="1"/>
  <c r="Y69" i="1"/>
  <c r="W69" i="1"/>
  <c r="T69" i="1"/>
  <c r="Q69" i="1"/>
  <c r="O69" i="1"/>
  <c r="N69" i="1" s="1"/>
  <c r="K69" i="1"/>
  <c r="I69" i="1"/>
  <c r="H69" i="1" s="1"/>
  <c r="E69" i="1"/>
  <c r="CE68" i="1"/>
  <c r="CB68" i="1"/>
  <c r="CC68" i="1" s="1"/>
  <c r="BZ68" i="1"/>
  <c r="AR68" i="1"/>
  <c r="AN68" i="1"/>
  <c r="AO68" i="1" s="1"/>
  <c r="V68" i="1"/>
  <c r="T68" i="1" s="1"/>
  <c r="CB67" i="1"/>
  <c r="CC67" i="1" s="1"/>
  <c r="BY67" i="1"/>
  <c r="CE67" i="1" s="1"/>
  <c r="BT67" i="1"/>
  <c r="BN67" i="1"/>
  <c r="BL67" i="1" s="1"/>
  <c r="BM67" i="1"/>
  <c r="BI67" i="1"/>
  <c r="BF67" i="1"/>
  <c r="BB67" i="1"/>
  <c r="AW67" i="1"/>
  <c r="AT67" i="1"/>
  <c r="AR67" i="1"/>
  <c r="AP67" i="1"/>
  <c r="AO67" i="1"/>
  <c r="AK67" i="1"/>
  <c r="AH67" i="1"/>
  <c r="AB67" i="1"/>
  <c r="AC67" i="1" s="1"/>
  <c r="Y67" i="1"/>
  <c r="W67" i="1"/>
  <c r="T67" i="1"/>
  <c r="Q67" i="1"/>
  <c r="AM67" i="1" s="1"/>
  <c r="O67" i="1"/>
  <c r="N67" i="1" s="1"/>
  <c r="K67" i="1"/>
  <c r="AU67" i="1" s="1"/>
  <c r="CC66" i="1"/>
  <c r="CB66" i="1"/>
  <c r="BZ66" i="1"/>
  <c r="BY66" i="1"/>
  <c r="CE66" i="1" s="1"/>
  <c r="BT66" i="1"/>
  <c r="BN66" i="1"/>
  <c r="BO66" i="1" s="1"/>
  <c r="BH66" i="1"/>
  <c r="BI66" i="1" s="1"/>
  <c r="BF66" i="1"/>
  <c r="BB66" i="1"/>
  <c r="BC66" i="1" s="1"/>
  <c r="AW66" i="1"/>
  <c r="AT66" i="1"/>
  <c r="AR66" i="1"/>
  <c r="AP66" i="1"/>
  <c r="AO66" i="1"/>
  <c r="AK66" i="1"/>
  <c r="AH66" i="1"/>
  <c r="AB66" i="1"/>
  <c r="AC66" i="1" s="1"/>
  <c r="Y66" i="1"/>
  <c r="W66" i="1"/>
  <c r="T66" i="1"/>
  <c r="Q66" i="1"/>
  <c r="O66" i="1"/>
  <c r="N66" i="1" s="1"/>
  <c r="K66" i="1"/>
  <c r="CJ65" i="1"/>
  <c r="CH65" i="1" s="1"/>
  <c r="CF65" i="1" s="1"/>
  <c r="CB65" i="1"/>
  <c r="CC65" i="1" s="1"/>
  <c r="BZ65" i="1"/>
  <c r="BY65" i="1"/>
  <c r="CE65" i="1" s="1"/>
  <c r="BH65" i="1"/>
  <c r="BF65" i="1"/>
  <c r="BD65" i="1"/>
  <c r="AR65" i="1"/>
  <c r="AP65" i="1"/>
  <c r="AK65" i="1"/>
  <c r="AI65" i="1"/>
  <c r="AO65" i="1" s="1"/>
  <c r="AH65" i="1"/>
  <c r="AE65" i="1"/>
  <c r="Y65" i="1"/>
  <c r="W65" i="1"/>
  <c r="T65" i="1"/>
  <c r="Q65" i="1"/>
  <c r="L65" i="1"/>
  <c r="BT65" i="1" s="1"/>
  <c r="BU65" i="1" s="1"/>
  <c r="E65" i="1"/>
  <c r="CJ64" i="1"/>
  <c r="CH64" i="1" s="1"/>
  <c r="CF64" i="1" s="1"/>
  <c r="CC64" i="1"/>
  <c r="CB64" i="1"/>
  <c r="BZ64" i="1"/>
  <c r="BY64" i="1"/>
  <c r="CE64" i="1" s="1"/>
  <c r="BH64" i="1"/>
  <c r="BT64" i="1" s="1"/>
  <c r="BF64" i="1"/>
  <c r="BD64" i="1"/>
  <c r="AV64" i="1"/>
  <c r="BN64" i="1" s="1"/>
  <c r="AR64" i="1"/>
  <c r="AO64" i="1"/>
  <c r="AK64" i="1"/>
  <c r="AL64" i="1" s="1"/>
  <c r="AH64" i="1"/>
  <c r="AE64" i="1"/>
  <c r="Y64" i="1"/>
  <c r="V64" i="1"/>
  <c r="Q64" i="1"/>
  <c r="O64" i="1"/>
  <c r="N64" i="1" s="1"/>
  <c r="K64" i="1"/>
  <c r="I64" i="1"/>
  <c r="H64" i="1" s="1"/>
  <c r="E64" i="1"/>
  <c r="CJ63" i="1"/>
  <c r="CH63" i="1" s="1"/>
  <c r="CD63" i="1"/>
  <c r="CE63" i="1" s="1"/>
  <c r="CB63" i="1"/>
  <c r="BV63" i="1"/>
  <c r="CC63" i="1" s="1"/>
  <c r="BP63" i="1"/>
  <c r="BJ63" i="1"/>
  <c r="BH63" i="1"/>
  <c r="AN63" i="1"/>
  <c r="AJ63" i="1"/>
  <c r="AR63" i="1" s="1"/>
  <c r="AI63" i="1"/>
  <c r="AG63" i="1"/>
  <c r="AF63" i="1"/>
  <c r="AE63" i="1" s="1"/>
  <c r="AD63" i="1"/>
  <c r="X63" i="1"/>
  <c r="V63" i="1"/>
  <c r="S63" i="1"/>
  <c r="R63" i="1"/>
  <c r="Q63" i="1" s="1"/>
  <c r="M63" i="1"/>
  <c r="G63" i="1"/>
  <c r="F63" i="1"/>
  <c r="CB62" i="1"/>
  <c r="CC62" i="1" s="1"/>
  <c r="BZ62" i="1"/>
  <c r="BY62" i="1"/>
  <c r="CE62" i="1" s="1"/>
  <c r="BT62" i="1"/>
  <c r="BU62" i="1" s="1"/>
  <c r="BF62" i="1"/>
  <c r="AV62" i="1"/>
  <c r="BN62" i="1" s="1"/>
  <c r="BO62" i="1" s="1"/>
  <c r="AR62" i="1"/>
  <c r="AO62" i="1"/>
  <c r="AK62" i="1"/>
  <c r="AH62" i="1"/>
  <c r="AL62" i="1" s="1"/>
  <c r="AB62" i="1"/>
  <c r="Y62" i="1"/>
  <c r="W62" i="1"/>
  <c r="T62" i="1"/>
  <c r="Q62" i="1"/>
  <c r="K62" i="1"/>
  <c r="BA62" i="1" s="1"/>
  <c r="CJ61" i="1"/>
  <c r="CH61" i="1"/>
  <c r="CF61" i="1" s="1"/>
  <c r="CB61" i="1"/>
  <c r="CC61" i="1" s="1"/>
  <c r="BZ61" i="1"/>
  <c r="BY61" i="1"/>
  <c r="CE61" i="1" s="1"/>
  <c r="BN61" i="1"/>
  <c r="BO61" i="1" s="1"/>
  <c r="BI61" i="1"/>
  <c r="BF61" i="1"/>
  <c r="BG61" i="1" s="1"/>
  <c r="BD61" i="1"/>
  <c r="AT61" i="1"/>
  <c r="AR61" i="1"/>
  <c r="AP61" i="1"/>
  <c r="AK61" i="1"/>
  <c r="AM61" i="1" s="1"/>
  <c r="AI61" i="1"/>
  <c r="AI58" i="1" s="1"/>
  <c r="AI57" i="1" s="1"/>
  <c r="AE61" i="1"/>
  <c r="Y61" i="1"/>
  <c r="W61" i="1"/>
  <c r="T61" i="1"/>
  <c r="U61" i="1" s="1"/>
  <c r="Q61" i="1"/>
  <c r="L61" i="1"/>
  <c r="AW61" i="1" s="1"/>
  <c r="E61" i="1"/>
  <c r="CJ60" i="1"/>
  <c r="CH60" i="1" s="1"/>
  <c r="CF60" i="1" s="1"/>
  <c r="CB60" i="1"/>
  <c r="CC60" i="1" s="1"/>
  <c r="BY60" i="1"/>
  <c r="CE60" i="1" s="1"/>
  <c r="BN60" i="1"/>
  <c r="BI60" i="1"/>
  <c r="BF60" i="1"/>
  <c r="BD60" i="1"/>
  <c r="BB60" i="1"/>
  <c r="AT60" i="1"/>
  <c r="AR60" i="1"/>
  <c r="AP60" i="1"/>
  <c r="AO60" i="1"/>
  <c r="AK60" i="1"/>
  <c r="AH60" i="1"/>
  <c r="AE60" i="1"/>
  <c r="Y60" i="1"/>
  <c r="W60" i="1"/>
  <c r="T60" i="1"/>
  <c r="Q60" i="1"/>
  <c r="U60" i="1" s="1"/>
  <c r="L60" i="1"/>
  <c r="BT60" i="1" s="1"/>
  <c r="K60" i="1"/>
  <c r="I60" i="1"/>
  <c r="E60" i="1"/>
  <c r="BT59" i="1"/>
  <c r="BU59" i="1" s="1"/>
  <c r="BS59" i="1"/>
  <c r="BN59" i="1"/>
  <c r="BO59" i="1" s="1"/>
  <c r="BM59" i="1"/>
  <c r="BI59" i="1"/>
  <c r="BG59" i="1"/>
  <c r="BC59" i="1"/>
  <c r="BA59" i="1"/>
  <c r="AW59" i="1"/>
  <c r="AU59" i="1"/>
  <c r="AK59" i="1"/>
  <c r="Q59" i="1"/>
  <c r="CJ58" i="1"/>
  <c r="CH58" i="1" s="1"/>
  <c r="CF58" i="1" s="1"/>
  <c r="CD58" i="1"/>
  <c r="CB58" i="1"/>
  <c r="CC58" i="1" s="1"/>
  <c r="BV58" i="1"/>
  <c r="BV57" i="1" s="1"/>
  <c r="BP58" i="1"/>
  <c r="BP57" i="1" s="1"/>
  <c r="BJ58" i="1"/>
  <c r="BH58" i="1"/>
  <c r="AN58" i="1"/>
  <c r="AK58" i="1"/>
  <c r="AJ58" i="1"/>
  <c r="AR58" i="1" s="1"/>
  <c r="AG58" i="1"/>
  <c r="AF58" i="1"/>
  <c r="AF57" i="1" s="1"/>
  <c r="AD58" i="1"/>
  <c r="V58" i="1"/>
  <c r="T58" i="1" s="1"/>
  <c r="S58" i="1"/>
  <c r="Y58" i="1" s="1"/>
  <c r="R58" i="1"/>
  <c r="M58" i="1"/>
  <c r="M56" i="1" s="1"/>
  <c r="G58" i="1"/>
  <c r="F58" i="1"/>
  <c r="E58" i="1" s="1"/>
  <c r="CJ57" i="1"/>
  <c r="CH57" i="1" s="1"/>
  <c r="CE57" i="1"/>
  <c r="CB57" i="1"/>
  <c r="AN57" i="1"/>
  <c r="AJ57" i="1"/>
  <c r="AR57" i="1" s="1"/>
  <c r="S57" i="1"/>
  <c r="R57" i="1"/>
  <c r="G57" i="1"/>
  <c r="F57" i="1"/>
  <c r="E57" i="1" s="1"/>
  <c r="CJ56" i="1"/>
  <c r="CH56" i="1" s="1"/>
  <c r="CF56" i="1" s="1"/>
  <c r="CB56" i="1"/>
  <c r="CC56" i="1" s="1"/>
  <c r="BY56" i="1"/>
  <c r="CE56" i="1" s="1"/>
  <c r="BH56" i="1"/>
  <c r="BD56" i="1"/>
  <c r="BB56" i="1"/>
  <c r="BC56" i="1" s="1"/>
  <c r="AW56" i="1"/>
  <c r="AT56" i="1"/>
  <c r="AR56" i="1"/>
  <c r="AH56" i="1"/>
  <c r="AE56" i="1"/>
  <c r="AB56" i="1"/>
  <c r="AC56" i="1" s="1"/>
  <c r="Z56" i="1"/>
  <c r="Y56" i="1"/>
  <c r="W56" i="1"/>
  <c r="T56" i="1"/>
  <c r="Q56" i="1"/>
  <c r="O56" i="1"/>
  <c r="N56" i="1" s="1"/>
  <c r="I56" i="1"/>
  <c r="H56" i="1"/>
  <c r="E56" i="1"/>
  <c r="CB55" i="1"/>
  <c r="CC55" i="1" s="1"/>
  <c r="BZ55" i="1"/>
  <c r="BY55" i="1"/>
  <c r="CE55" i="1" s="1"/>
  <c r="BH55" i="1"/>
  <c r="AR55" i="1"/>
  <c r="AO55" i="1"/>
  <c r="AK55" i="1"/>
  <c r="AH55" i="1"/>
  <c r="Y55" i="1"/>
  <c r="W55" i="1"/>
  <c r="T55" i="1"/>
  <c r="U55" i="1" s="1"/>
  <c r="Q55" i="1"/>
  <c r="L55" i="1"/>
  <c r="O55" i="1" s="1"/>
  <c r="N55" i="1" s="1"/>
  <c r="CJ54" i="1"/>
  <c r="CH54" i="1" s="1"/>
  <c r="CF54" i="1" s="1"/>
  <c r="CC54" i="1"/>
  <c r="CB54" i="1"/>
  <c r="BZ54" i="1"/>
  <c r="BY54" i="1"/>
  <c r="CE54" i="1" s="1"/>
  <c r="BH54" i="1"/>
  <c r="BI54" i="1" s="1"/>
  <c r="BF54" i="1"/>
  <c r="BD54" i="1"/>
  <c r="AV54" i="1"/>
  <c r="BN54" i="1" s="1"/>
  <c r="BO54" i="1" s="1"/>
  <c r="AR54" i="1"/>
  <c r="AE54" i="1"/>
  <c r="Y54" i="1"/>
  <c r="W54" i="1"/>
  <c r="T54" i="1"/>
  <c r="Q54" i="1"/>
  <c r="L54" i="1"/>
  <c r="E54" i="1"/>
  <c r="CJ53" i="1"/>
  <c r="CH53" i="1" s="1"/>
  <c r="CF53" i="1" s="1"/>
  <c r="CE53" i="1"/>
  <c r="CB53" i="1"/>
  <c r="CC53" i="1" s="1"/>
  <c r="BZ53" i="1"/>
  <c r="BY53" i="1"/>
  <c r="BD53" i="1"/>
  <c r="BB53" i="1"/>
  <c r="AW53" i="1"/>
  <c r="AT53" i="1"/>
  <c r="AR53" i="1"/>
  <c r="AE53" i="1"/>
  <c r="AC53" i="1"/>
  <c r="AB53" i="1"/>
  <c r="Z53" i="1"/>
  <c r="Y53" i="1"/>
  <c r="W53" i="1"/>
  <c r="T53" i="1"/>
  <c r="Q53" i="1"/>
  <c r="O53" i="1"/>
  <c r="N53" i="1"/>
  <c r="I53" i="1"/>
  <c r="H53" i="1"/>
  <c r="E53" i="1"/>
  <c r="CJ52" i="1"/>
  <c r="CH52" i="1" s="1"/>
  <c r="CF52" i="1" s="1"/>
  <c r="CC52" i="1"/>
  <c r="CB52" i="1"/>
  <c r="BZ52" i="1"/>
  <c r="CA52" i="1" s="1"/>
  <c r="BY52" i="1"/>
  <c r="CE52" i="1" s="1"/>
  <c r="BT52" i="1"/>
  <c r="BU52" i="1" s="1"/>
  <c r="BR52" i="1"/>
  <c r="BF52" i="1"/>
  <c r="BD52" i="1"/>
  <c r="BD50" i="1" s="1"/>
  <c r="BD49" i="1" s="1"/>
  <c r="AV52" i="1"/>
  <c r="BN52" i="1" s="1"/>
  <c r="BO52" i="1" s="1"/>
  <c r="AT52" i="1"/>
  <c r="AR52" i="1"/>
  <c r="AP52" i="1"/>
  <c r="AO52" i="1"/>
  <c r="AK52" i="1"/>
  <c r="AH52" i="1"/>
  <c r="AE52" i="1"/>
  <c r="AB52" i="1"/>
  <c r="AC52" i="1" s="1"/>
  <c r="Z52" i="1"/>
  <c r="Y52" i="1"/>
  <c r="W52" i="1"/>
  <c r="T52" i="1"/>
  <c r="Q52" i="1"/>
  <c r="N52" i="1"/>
  <c r="I52" i="1"/>
  <c r="H52" i="1" s="1"/>
  <c r="E52" i="1"/>
  <c r="CJ51" i="1"/>
  <c r="CH51" i="1" s="1"/>
  <c r="CF51" i="1" s="1"/>
  <c r="CC51" i="1"/>
  <c r="CB51" i="1"/>
  <c r="BZ51" i="1"/>
  <c r="BY51" i="1"/>
  <c r="CE51" i="1" s="1"/>
  <c r="BT51" i="1"/>
  <c r="BR51" i="1" s="1"/>
  <c r="BN51" i="1"/>
  <c r="BL51" i="1"/>
  <c r="BI51" i="1"/>
  <c r="BF51" i="1"/>
  <c r="BD51" i="1"/>
  <c r="AW51" i="1"/>
  <c r="AT51" i="1"/>
  <c r="AR51" i="1"/>
  <c r="AO51" i="1"/>
  <c r="AK51" i="1"/>
  <c r="AH51" i="1"/>
  <c r="AE51" i="1"/>
  <c r="Y51" i="1"/>
  <c r="R51" i="1"/>
  <c r="BB51" i="1" s="1"/>
  <c r="BC51" i="1" s="1"/>
  <c r="N51" i="1"/>
  <c r="I51" i="1"/>
  <c r="H51" i="1" s="1"/>
  <c r="E51" i="1"/>
  <c r="CJ50" i="1"/>
  <c r="CH50" i="1"/>
  <c r="CF50" i="1" s="1"/>
  <c r="CD50" i="1"/>
  <c r="CB50" i="1"/>
  <c r="BV50" i="1"/>
  <c r="CC50" i="1" s="1"/>
  <c r="BP50" i="1"/>
  <c r="BJ50" i="1"/>
  <c r="BJ49" i="1" s="1"/>
  <c r="AJ50" i="1"/>
  <c r="AG50" i="1"/>
  <c r="AG49" i="1" s="1"/>
  <c r="AF50" i="1"/>
  <c r="AD50" i="1"/>
  <c r="AD48" i="1" s="1"/>
  <c r="X50" i="1"/>
  <c r="V50" i="1"/>
  <c r="S50" i="1"/>
  <c r="S49" i="1" s="1"/>
  <c r="G50" i="1"/>
  <c r="G49" i="1" s="1"/>
  <c r="F50" i="1"/>
  <c r="CJ49" i="1"/>
  <c r="CH49" i="1" s="1"/>
  <c r="CB49" i="1"/>
  <c r="BP49" i="1"/>
  <c r="CJ48" i="1"/>
  <c r="CH48" i="1"/>
  <c r="CF48" i="1" s="1"/>
  <c r="CB48" i="1"/>
  <c r="BT48" i="1"/>
  <c r="BR48" i="1" s="1"/>
  <c r="BF48" i="1"/>
  <c r="BD48" i="1"/>
  <c r="AV48" i="1"/>
  <c r="BI48" i="1" s="1"/>
  <c r="AR48" i="1"/>
  <c r="AO48" i="1"/>
  <c r="AK48" i="1"/>
  <c r="AH48" i="1"/>
  <c r="AE48" i="1"/>
  <c r="Y48" i="1"/>
  <c r="R48" i="1"/>
  <c r="Q48" i="1" s="1"/>
  <c r="N48" i="1"/>
  <c r="K48" i="1"/>
  <c r="I48" i="1"/>
  <c r="H48" i="1" s="1"/>
  <c r="E48" i="1"/>
  <c r="CB47" i="1"/>
  <c r="BH47" i="1"/>
  <c r="AV47" i="1"/>
  <c r="AW47" i="1" s="1"/>
  <c r="AR47" i="1"/>
  <c r="AO47" i="1"/>
  <c r="AK47" i="1"/>
  <c r="AH47" i="1"/>
  <c r="AB47" i="1"/>
  <c r="Y47" i="1"/>
  <c r="W47" i="1"/>
  <c r="U47" i="1"/>
  <c r="T47" i="1"/>
  <c r="R47" i="1"/>
  <c r="AP47" i="1" s="1"/>
  <c r="Q47" i="1"/>
  <c r="N47" i="1"/>
  <c r="K47" i="1"/>
  <c r="BS47" i="1" s="1"/>
  <c r="CJ46" i="1"/>
  <c r="CH46" i="1"/>
  <c r="CF46" i="1"/>
  <c r="CB46" i="1"/>
  <c r="BT46" i="1"/>
  <c r="BN46" i="1"/>
  <c r="BO46" i="1" s="1"/>
  <c r="BI46" i="1"/>
  <c r="BF46" i="1"/>
  <c r="BD46" i="1"/>
  <c r="BB46" i="1"/>
  <c r="BC46" i="1" s="1"/>
  <c r="AW46" i="1"/>
  <c r="AT46" i="1"/>
  <c r="AR46" i="1"/>
  <c r="AP46" i="1"/>
  <c r="AO46" i="1"/>
  <c r="AK46" i="1"/>
  <c r="AH46" i="1"/>
  <c r="AE46" i="1"/>
  <c r="AB46" i="1"/>
  <c r="AC46" i="1" s="1"/>
  <c r="Y46" i="1"/>
  <c r="W46" i="1"/>
  <c r="T46" i="1"/>
  <c r="U46" i="1" s="1"/>
  <c r="Q46" i="1"/>
  <c r="N46" i="1"/>
  <c r="K46" i="1"/>
  <c r="I46" i="1"/>
  <c r="H46" i="1" s="1"/>
  <c r="E46" i="1"/>
  <c r="CJ45" i="1"/>
  <c r="CH45" i="1" s="1"/>
  <c r="CF45" i="1" s="1"/>
  <c r="CB45" i="1"/>
  <c r="CC45" i="1" s="1"/>
  <c r="BT45" i="1"/>
  <c r="BU45" i="1" s="1"/>
  <c r="BR45" i="1"/>
  <c r="BH45" i="1"/>
  <c r="BN45" i="1" s="1"/>
  <c r="BO45" i="1" s="1"/>
  <c r="BF45" i="1"/>
  <c r="BD45" i="1"/>
  <c r="BB45" i="1"/>
  <c r="BC45" i="1" s="1"/>
  <c r="AW45" i="1"/>
  <c r="AT45" i="1"/>
  <c r="AR45" i="1"/>
  <c r="AK45" i="1"/>
  <c r="AI45" i="1"/>
  <c r="AI42" i="1" s="1"/>
  <c r="AE45" i="1"/>
  <c r="AB45" i="1"/>
  <c r="Y45" i="1"/>
  <c r="W45" i="1"/>
  <c r="T45" i="1"/>
  <c r="R45" i="1"/>
  <c r="AP45" i="1" s="1"/>
  <c r="Q45" i="1"/>
  <c r="N45" i="1"/>
  <c r="K45" i="1"/>
  <c r="I45" i="1"/>
  <c r="H45" i="1" s="1"/>
  <c r="E45" i="1"/>
  <c r="CJ44" i="1"/>
  <c r="CH44" i="1"/>
  <c r="CF44" i="1" s="1"/>
  <c r="CB44" i="1"/>
  <c r="BT44" i="1"/>
  <c r="BR44" i="1" s="1"/>
  <c r="BN44" i="1"/>
  <c r="BO44" i="1" s="1"/>
  <c r="BI44" i="1"/>
  <c r="BF44" i="1"/>
  <c r="BD44" i="1"/>
  <c r="BD42" i="1" s="1"/>
  <c r="AW44" i="1"/>
  <c r="AT44" i="1"/>
  <c r="AR44" i="1"/>
  <c r="AO44" i="1"/>
  <c r="AK44" i="1"/>
  <c r="AH44" i="1"/>
  <c r="AE44" i="1"/>
  <c r="AB44" i="1"/>
  <c r="Y44" i="1"/>
  <c r="T44" i="1"/>
  <c r="R44" i="1"/>
  <c r="N44" i="1"/>
  <c r="K44" i="1"/>
  <c r="I44" i="1"/>
  <c r="E44" i="1"/>
  <c r="CJ43" i="1"/>
  <c r="CH43" i="1" s="1"/>
  <c r="CF43" i="1" s="1"/>
  <c r="CC43" i="1"/>
  <c r="CB43" i="1"/>
  <c r="BT43" i="1"/>
  <c r="BR43" i="1" s="1"/>
  <c r="BN43" i="1"/>
  <c r="BI43" i="1"/>
  <c r="BF43" i="1"/>
  <c r="BG43" i="1" s="1"/>
  <c r="BD43" i="1"/>
  <c r="AW43" i="1"/>
  <c r="AT43" i="1"/>
  <c r="AR43" i="1"/>
  <c r="AO43" i="1"/>
  <c r="AK43" i="1"/>
  <c r="AL43" i="1" s="1"/>
  <c r="AH43" i="1"/>
  <c r="AE43" i="1"/>
  <c r="AB43" i="1"/>
  <c r="Y43" i="1"/>
  <c r="R43" i="1"/>
  <c r="BB43" i="1" s="1"/>
  <c r="N43" i="1"/>
  <c r="K43" i="1"/>
  <c r="I43" i="1"/>
  <c r="H43" i="1" s="1"/>
  <c r="F43" i="1"/>
  <c r="E43" i="1"/>
  <c r="CJ42" i="1"/>
  <c r="CH42" i="1" s="1"/>
  <c r="CF42" i="1" s="1"/>
  <c r="CB42" i="1"/>
  <c r="BV42" i="1"/>
  <c r="BV41" i="1" s="1"/>
  <c r="BP42" i="1"/>
  <c r="BJ42" i="1"/>
  <c r="BJ41" i="1" s="1"/>
  <c r="AR42" i="1"/>
  <c r="AO42" i="1"/>
  <c r="AN42" i="1"/>
  <c r="AJ42" i="1"/>
  <c r="AJ41" i="1" s="1"/>
  <c r="AR41" i="1" s="1"/>
  <c r="AG42" i="1"/>
  <c r="AF42" i="1"/>
  <c r="AF41" i="1" s="1"/>
  <c r="X42" i="1"/>
  <c r="S42" i="1"/>
  <c r="S41" i="1" s="1"/>
  <c r="R42" i="1"/>
  <c r="O42" i="1"/>
  <c r="L42" i="1"/>
  <c r="L41" i="1" s="1"/>
  <c r="G42" i="1"/>
  <c r="G41" i="1" s="1"/>
  <c r="F42" i="1"/>
  <c r="CJ41" i="1"/>
  <c r="CH41" i="1" s="1"/>
  <c r="CB41" i="1"/>
  <c r="BP41" i="1"/>
  <c r="AN41" i="1"/>
  <c r="X41" i="1"/>
  <c r="O41" i="1"/>
  <c r="N41" i="1" s="1"/>
  <c r="CJ40" i="1"/>
  <c r="CH40" i="1" s="1"/>
  <c r="CF40" i="1" s="1"/>
  <c r="CE40" i="1"/>
  <c r="CB40" i="1"/>
  <c r="CC40" i="1" s="1"/>
  <c r="BZ40" i="1"/>
  <c r="BY40" i="1"/>
  <c r="BT40" i="1"/>
  <c r="BR40" i="1" s="1"/>
  <c r="BN40" i="1"/>
  <c r="BO40" i="1" s="1"/>
  <c r="BI40" i="1"/>
  <c r="BF40" i="1"/>
  <c r="BD40" i="1"/>
  <c r="BB40" i="1"/>
  <c r="BC40" i="1" s="1"/>
  <c r="AW40" i="1"/>
  <c r="AT40" i="1"/>
  <c r="AR40" i="1"/>
  <c r="AP40" i="1"/>
  <c r="AO40" i="1"/>
  <c r="AK40" i="1"/>
  <c r="AH40" i="1"/>
  <c r="AE40" i="1"/>
  <c r="AB40" i="1"/>
  <c r="Y40" i="1"/>
  <c r="W40" i="1"/>
  <c r="T40" i="1"/>
  <c r="Q40" i="1"/>
  <c r="O40" i="1"/>
  <c r="N40" i="1" s="1"/>
  <c r="K40" i="1"/>
  <c r="I40" i="1"/>
  <c r="H40" i="1"/>
  <c r="E40" i="1"/>
  <c r="CJ39" i="1"/>
  <c r="CH39" i="1" s="1"/>
  <c r="CF39" i="1" s="1"/>
  <c r="CB39" i="1"/>
  <c r="CC39" i="1" s="1"/>
  <c r="BY39" i="1"/>
  <c r="CE39" i="1" s="1"/>
  <c r="BT39" i="1"/>
  <c r="BR39" i="1"/>
  <c r="BF39" i="1"/>
  <c r="BD39" i="1"/>
  <c r="BD38" i="1" s="1"/>
  <c r="AV39" i="1"/>
  <c r="BN39" i="1" s="1"/>
  <c r="AT39" i="1"/>
  <c r="AR39" i="1"/>
  <c r="AO39" i="1"/>
  <c r="AK39" i="1"/>
  <c r="AH39" i="1"/>
  <c r="AE39" i="1"/>
  <c r="AB39" i="1"/>
  <c r="Y39" i="1"/>
  <c r="W39" i="1"/>
  <c r="Q39" i="1"/>
  <c r="U39" i="1" s="1"/>
  <c r="O39" i="1"/>
  <c r="O38" i="1" s="1"/>
  <c r="N38" i="1" s="1"/>
  <c r="K39" i="1"/>
  <c r="I39" i="1"/>
  <c r="H39" i="1"/>
  <c r="E39" i="1"/>
  <c r="CJ38" i="1"/>
  <c r="CH38" i="1" s="1"/>
  <c r="CD38" i="1"/>
  <c r="CE38" i="1" s="1"/>
  <c r="CB38" i="1"/>
  <c r="CC38" i="1" s="1"/>
  <c r="BJ38" i="1"/>
  <c r="BH38" i="1"/>
  <c r="BI38" i="1" s="1"/>
  <c r="AN38" i="1"/>
  <c r="AO38" i="1" s="1"/>
  <c r="AJ38" i="1"/>
  <c r="AR38" i="1" s="1"/>
  <c r="AI38" i="1"/>
  <c r="AG38" i="1"/>
  <c r="AF38" i="1"/>
  <c r="AE38" i="1" s="1"/>
  <c r="AD38" i="1"/>
  <c r="X38" i="1"/>
  <c r="V38" i="1"/>
  <c r="S38" i="1"/>
  <c r="R38" i="1"/>
  <c r="Q38" i="1" s="1"/>
  <c r="L38" i="1"/>
  <c r="AB38" i="1" s="1"/>
  <c r="G38" i="1"/>
  <c r="F38" i="1"/>
  <c r="E38" i="1" s="1"/>
  <c r="CJ37" i="1"/>
  <c r="CH37" i="1" s="1"/>
  <c r="CF37" i="1" s="1"/>
  <c r="CB37" i="1"/>
  <c r="CC37" i="1" s="1"/>
  <c r="BY37" i="1"/>
  <c r="CE37" i="1" s="1"/>
  <c r="BT37" i="1"/>
  <c r="BH37" i="1"/>
  <c r="BD37" i="1"/>
  <c r="AR37" i="1"/>
  <c r="AP37" i="1"/>
  <c r="AO37" i="1"/>
  <c r="AK37" i="1"/>
  <c r="AH37" i="1"/>
  <c r="AE37" i="1"/>
  <c r="AB37" i="1"/>
  <c r="Z37" i="1" s="1"/>
  <c r="Y37" i="1"/>
  <c r="W37" i="1"/>
  <c r="T37" i="1"/>
  <c r="U37" i="1" s="1"/>
  <c r="Q37" i="1"/>
  <c r="L37" i="1"/>
  <c r="L25" i="1" s="1"/>
  <c r="K25" i="1" s="1"/>
  <c r="K37" i="1"/>
  <c r="E37" i="1"/>
  <c r="CJ36" i="1"/>
  <c r="CH36" i="1" s="1"/>
  <c r="CF36" i="1" s="1"/>
  <c r="CC36" i="1"/>
  <c r="CB36" i="1"/>
  <c r="BZ36" i="1"/>
  <c r="CA36" i="1" s="1"/>
  <c r="BY36" i="1"/>
  <c r="CE36" i="1" s="1"/>
  <c r="BT36" i="1"/>
  <c r="BR36" i="1"/>
  <c r="BF36" i="1"/>
  <c r="BD36" i="1"/>
  <c r="AV36" i="1"/>
  <c r="BB36" i="1" s="1"/>
  <c r="AR36" i="1"/>
  <c r="AO36" i="1"/>
  <c r="AK36" i="1"/>
  <c r="AH36" i="1"/>
  <c r="AE36" i="1"/>
  <c r="AB36" i="1"/>
  <c r="AC36" i="1" s="1"/>
  <c r="Y36" i="1"/>
  <c r="W36" i="1"/>
  <c r="T36" i="1"/>
  <c r="Q36" i="1"/>
  <c r="O36" i="1"/>
  <c r="N36" i="1" s="1"/>
  <c r="K36" i="1"/>
  <c r="I36" i="1"/>
  <c r="H36" i="1" s="1"/>
  <c r="E36" i="1"/>
  <c r="CJ35" i="1"/>
  <c r="CH35" i="1" s="1"/>
  <c r="CF35" i="1" s="1"/>
  <c r="CC35" i="1"/>
  <c r="CB35" i="1"/>
  <c r="BZ35" i="1"/>
  <c r="BY35" i="1"/>
  <c r="CE35" i="1" s="1"/>
  <c r="BD35" i="1"/>
  <c r="AR35" i="1"/>
  <c r="AN35" i="1"/>
  <c r="AP35" i="1" s="1"/>
  <c r="AK35" i="1"/>
  <c r="AI35" i="1"/>
  <c r="AH35" i="1" s="1"/>
  <c r="AE35" i="1"/>
  <c r="AB35" i="1"/>
  <c r="AC35" i="1" s="1"/>
  <c r="Y35" i="1"/>
  <c r="W35" i="1"/>
  <c r="T35" i="1"/>
  <c r="Q35" i="1"/>
  <c r="L35" i="1"/>
  <c r="L32" i="1" s="1"/>
  <c r="L31" i="1" s="1"/>
  <c r="K35" i="1"/>
  <c r="F35" i="1"/>
  <c r="F32" i="1" s="1"/>
  <c r="CJ34" i="1"/>
  <c r="CH34" i="1"/>
  <c r="CF34" i="1" s="1"/>
  <c r="CE34" i="1"/>
  <c r="CB34" i="1"/>
  <c r="CC34" i="1" s="1"/>
  <c r="BY34" i="1"/>
  <c r="BT34" i="1"/>
  <c r="BU34" i="1" s="1"/>
  <c r="BF34" i="1"/>
  <c r="BD34" i="1"/>
  <c r="AV34" i="1"/>
  <c r="BI34" i="1" s="1"/>
  <c r="AR34" i="1"/>
  <c r="AP34" i="1"/>
  <c r="AO34" i="1"/>
  <c r="AK34" i="1"/>
  <c r="AH34" i="1"/>
  <c r="AE34" i="1"/>
  <c r="AB34" i="1"/>
  <c r="AC34" i="1" s="1"/>
  <c r="Y34" i="1"/>
  <c r="W34" i="1"/>
  <c r="T34" i="1"/>
  <c r="Q34" i="1"/>
  <c r="O34" i="1"/>
  <c r="N34" i="1"/>
  <c r="K34" i="1"/>
  <c r="I34" i="1"/>
  <c r="H34" i="1"/>
  <c r="E34" i="1"/>
  <c r="CJ33" i="1"/>
  <c r="CH33" i="1" s="1"/>
  <c r="CF33" i="1" s="1"/>
  <c r="CE33" i="1"/>
  <c r="CB33" i="1"/>
  <c r="CC33" i="1" s="1"/>
  <c r="BZ33" i="1"/>
  <c r="BY33" i="1"/>
  <c r="BT33" i="1"/>
  <c r="BR33" i="1"/>
  <c r="BF33" i="1"/>
  <c r="BD33" i="1"/>
  <c r="AV33" i="1"/>
  <c r="BN33" i="1" s="1"/>
  <c r="BL33" i="1" s="1"/>
  <c r="AT33" i="1"/>
  <c r="AR33" i="1"/>
  <c r="AO33" i="1"/>
  <c r="AK33" i="1"/>
  <c r="AH33" i="1"/>
  <c r="AE33" i="1"/>
  <c r="AB33" i="1"/>
  <c r="AC33" i="1" s="1"/>
  <c r="Y33" i="1"/>
  <c r="W33" i="1"/>
  <c r="Q33" i="1"/>
  <c r="U33" i="1" s="1"/>
  <c r="O33" i="1"/>
  <c r="N33" i="1"/>
  <c r="K33" i="1"/>
  <c r="I33" i="1"/>
  <c r="H33" i="1" s="1"/>
  <c r="E33" i="1"/>
  <c r="CJ32" i="1"/>
  <c r="CH32" i="1" s="1"/>
  <c r="CF32" i="1" s="1"/>
  <c r="CD32" i="1"/>
  <c r="CB32" i="1"/>
  <c r="BV32" i="1"/>
  <c r="BP32" i="1"/>
  <c r="BJ32" i="1"/>
  <c r="BJ31" i="1" s="1"/>
  <c r="AX32" i="1"/>
  <c r="AS32" i="1"/>
  <c r="AQ32" i="1"/>
  <c r="AJ32" i="1"/>
  <c r="AJ31" i="1" s="1"/>
  <c r="AR31" i="1" s="1"/>
  <c r="AG32" i="1"/>
  <c r="AG31" i="1" s="1"/>
  <c r="AF32" i="1"/>
  <c r="AF31" i="1" s="1"/>
  <c r="AD32" i="1"/>
  <c r="X32" i="1"/>
  <c r="V32" i="1"/>
  <c r="S32" i="1"/>
  <c r="S31" i="1" s="1"/>
  <c r="R32" i="1"/>
  <c r="R31" i="1" s="1"/>
  <c r="Q31" i="1" s="1"/>
  <c r="P32" i="1"/>
  <c r="M32" i="1"/>
  <c r="G32" i="1"/>
  <c r="G31" i="1" s="1"/>
  <c r="CJ31" i="1"/>
  <c r="CH31" i="1" s="1"/>
  <c r="CB31" i="1"/>
  <c r="BV31" i="1"/>
  <c r="BP31" i="1"/>
  <c r="AX31" i="1"/>
  <c r="AE31" i="1"/>
  <c r="V31" i="1"/>
  <c r="M31" i="1"/>
  <c r="CJ30" i="1"/>
  <c r="CH30" i="1" s="1"/>
  <c r="CF30" i="1" s="1"/>
  <c r="CC30" i="1"/>
  <c r="CB30" i="1"/>
  <c r="BZ30" i="1"/>
  <c r="BY30" i="1"/>
  <c r="CE30" i="1" s="1"/>
  <c r="BT30" i="1"/>
  <c r="BU30" i="1" s="1"/>
  <c r="BO30" i="1"/>
  <c r="BL30" i="1"/>
  <c r="BI30" i="1"/>
  <c r="BH30" i="1"/>
  <c r="BF30" i="1"/>
  <c r="BD30" i="1"/>
  <c r="BD24" i="1" s="1"/>
  <c r="BE24" i="1" s="1"/>
  <c r="BB30" i="1"/>
  <c r="BC30" i="1" s="1"/>
  <c r="AW30" i="1"/>
  <c r="AT30" i="1"/>
  <c r="AR30" i="1"/>
  <c r="AP30" i="1"/>
  <c r="AO30" i="1"/>
  <c r="AK30" i="1"/>
  <c r="AK28" i="1" s="1"/>
  <c r="AH30" i="1"/>
  <c r="AE30" i="1"/>
  <c r="AB30" i="1"/>
  <c r="AC30" i="1" s="1"/>
  <c r="Z30" i="1"/>
  <c r="Y30" i="1"/>
  <c r="W30" i="1"/>
  <c r="T30" i="1"/>
  <c r="T28" i="1" s="1"/>
  <c r="Q30" i="1"/>
  <c r="AM30" i="1" s="1"/>
  <c r="O30" i="1"/>
  <c r="N30" i="1" s="1"/>
  <c r="K30" i="1"/>
  <c r="I30" i="1"/>
  <c r="E30" i="1"/>
  <c r="CJ29" i="1"/>
  <c r="CH29" i="1" s="1"/>
  <c r="CF29" i="1" s="1"/>
  <c r="CC29" i="1"/>
  <c r="BZ29" i="1"/>
  <c r="CA29" i="1" s="1"/>
  <c r="BY29" i="1"/>
  <c r="CE29" i="1" s="1"/>
  <c r="BT29" i="1"/>
  <c r="BR29" i="1"/>
  <c r="BO29" i="1"/>
  <c r="BL29" i="1"/>
  <c r="BI29" i="1"/>
  <c r="BF29" i="1"/>
  <c r="BG29" i="1" s="1"/>
  <c r="BD29" i="1"/>
  <c r="BB29" i="1"/>
  <c r="AT29" i="1"/>
  <c r="AR29" i="1"/>
  <c r="AO29" i="1"/>
  <c r="AK29" i="1"/>
  <c r="AH29" i="1"/>
  <c r="AE29" i="1"/>
  <c r="AC29" i="1"/>
  <c r="Z29" i="1"/>
  <c r="Y29" i="1"/>
  <c r="W29" i="1"/>
  <c r="Q29" i="1"/>
  <c r="U29" i="1" s="1"/>
  <c r="O29" i="1"/>
  <c r="K29" i="1"/>
  <c r="I29" i="1"/>
  <c r="H29" i="1" s="1"/>
  <c r="E29" i="1"/>
  <c r="CJ28" i="1"/>
  <c r="CH28" i="1"/>
  <c r="CD28" i="1"/>
  <c r="CE28" i="1" s="1"/>
  <c r="CB28" i="1"/>
  <c r="BV28" i="1"/>
  <c r="BP28" i="1"/>
  <c r="BN28" i="1"/>
  <c r="BJ28" i="1"/>
  <c r="BH28" i="1"/>
  <c r="AX28" i="1"/>
  <c r="AV28" i="1"/>
  <c r="AP28" i="1"/>
  <c r="AN28" i="1"/>
  <c r="AJ28" i="1"/>
  <c r="AI28" i="1"/>
  <c r="AG28" i="1"/>
  <c r="AF28" i="1"/>
  <c r="AE28" i="1" s="1"/>
  <c r="AD28" i="1"/>
  <c r="X28" i="1"/>
  <c r="V28" i="1"/>
  <c r="S28" i="1"/>
  <c r="R28" i="1"/>
  <c r="M28" i="1"/>
  <c r="K28" i="1" s="1"/>
  <c r="L28" i="1"/>
  <c r="G28" i="1"/>
  <c r="F28" i="1"/>
  <c r="E28" i="1" s="1"/>
  <c r="AQ26" i="1"/>
  <c r="AJ26" i="1"/>
  <c r="AI26" i="1"/>
  <c r="AH26" i="1"/>
  <c r="AG26" i="1"/>
  <c r="AF26" i="1"/>
  <c r="AE26" i="1"/>
  <c r="P26" i="1"/>
  <c r="J26" i="1"/>
  <c r="H26" i="1" s="1"/>
  <c r="I26" i="1"/>
  <c r="G26" i="1"/>
  <c r="F26" i="1"/>
  <c r="E26" i="1" s="1"/>
  <c r="BY25" i="1"/>
  <c r="CE25" i="1" s="1"/>
  <c r="AX25" i="1"/>
  <c r="AY25" i="1" s="1"/>
  <c r="AQ25" i="1"/>
  <c r="AS25" i="1" s="1"/>
  <c r="AI25" i="1"/>
  <c r="AH25" i="1" s="1"/>
  <c r="AF25" i="1"/>
  <c r="AE25" i="1" s="1"/>
  <c r="F25" i="1"/>
  <c r="E25" i="1" s="1"/>
  <c r="BY24" i="1"/>
  <c r="CE24" i="1" s="1"/>
  <c r="BH24" i="1"/>
  <c r="BF24" i="1"/>
  <c r="AX24" i="1"/>
  <c r="AY24" i="1" s="1"/>
  <c r="AQ24" i="1"/>
  <c r="AR24" i="1" s="1"/>
  <c r="AF24" i="1"/>
  <c r="AE24" i="1" s="1"/>
  <c r="X24" i="1"/>
  <c r="Y24" i="1" s="1"/>
  <c r="V24" i="1"/>
  <c r="R24" i="1"/>
  <c r="Q24" i="1" s="1"/>
  <c r="L24" i="1"/>
  <c r="K24" i="1" s="1"/>
  <c r="F24" i="1"/>
  <c r="E24" i="1" s="1"/>
  <c r="CD23" i="1"/>
  <c r="BT23" i="1"/>
  <c r="BJ23" i="1"/>
  <c r="BH23" i="1"/>
  <c r="BF23" i="1"/>
  <c r="AX23" i="1"/>
  <c r="AY23" i="1" s="1"/>
  <c r="AV23" i="1"/>
  <c r="AT23" i="1"/>
  <c r="AQ23" i="1"/>
  <c r="AN23" i="1"/>
  <c r="AO23" i="1" s="1"/>
  <c r="AI23" i="1"/>
  <c r="AH23" i="1"/>
  <c r="AF23" i="1"/>
  <c r="AE23" i="1" s="1"/>
  <c r="AD23" i="1"/>
  <c r="BY23" i="1" s="1"/>
  <c r="AB23" i="1"/>
  <c r="V23" i="1"/>
  <c r="W23" i="1" s="1"/>
  <c r="T23" i="1"/>
  <c r="S23" i="1"/>
  <c r="R23" i="1"/>
  <c r="Q23" i="1"/>
  <c r="P23" i="1"/>
  <c r="M23" i="1"/>
  <c r="L23" i="1"/>
  <c r="K23" i="1" s="1"/>
  <c r="I23" i="1"/>
  <c r="G23" i="1"/>
  <c r="E23" i="1" s="1"/>
  <c r="F23" i="1"/>
  <c r="CD22" i="1"/>
  <c r="CB22" i="1"/>
  <c r="BZ22" i="1" s="1"/>
  <c r="CA22" i="1" s="1"/>
  <c r="BT22" i="1"/>
  <c r="BN22" i="1"/>
  <c r="BJ22" i="1"/>
  <c r="BH22" i="1"/>
  <c r="BF22" i="1" s="1"/>
  <c r="BG22" i="1" s="1"/>
  <c r="BB22" i="1"/>
  <c r="BC22" i="1" s="1"/>
  <c r="AZ22" i="1"/>
  <c r="AX22" i="1"/>
  <c r="AY22" i="1" s="1"/>
  <c r="AV22" i="1"/>
  <c r="AT22" i="1"/>
  <c r="AQ22" i="1"/>
  <c r="AN22" i="1"/>
  <c r="AK22" i="1"/>
  <c r="AM22" i="1" s="1"/>
  <c r="AJ22" i="1"/>
  <c r="AR22" i="1" s="1"/>
  <c r="AI22" i="1"/>
  <c r="AH22" i="1"/>
  <c r="AG22" i="1"/>
  <c r="AF22" i="1"/>
  <c r="AE22" i="1"/>
  <c r="AD22" i="1"/>
  <c r="BY22" i="1" s="1"/>
  <c r="CE22" i="1" s="1"/>
  <c r="AB22" i="1"/>
  <c r="V22" i="1"/>
  <c r="W22" i="1" s="1"/>
  <c r="T22" i="1"/>
  <c r="U22" i="1" s="1"/>
  <c r="S22" i="1"/>
  <c r="R22" i="1"/>
  <c r="Q22" i="1"/>
  <c r="P22" i="1"/>
  <c r="O22" i="1"/>
  <c r="N22" i="1"/>
  <c r="M22" i="1"/>
  <c r="AS22" i="1" s="1"/>
  <c r="L22" i="1"/>
  <c r="K22" i="1" s="1"/>
  <c r="J22" i="1"/>
  <c r="I22" i="1"/>
  <c r="H22" i="1"/>
  <c r="G22" i="1"/>
  <c r="F22" i="1"/>
  <c r="E22" i="1"/>
  <c r="CD21" i="1"/>
  <c r="CB21" i="1"/>
  <c r="BZ21" i="1" s="1"/>
  <c r="CA21" i="1"/>
  <c r="BT21" i="1"/>
  <c r="BN21" i="1"/>
  <c r="BJ21" i="1"/>
  <c r="BH21" i="1"/>
  <c r="BF21" i="1" s="1"/>
  <c r="BG21" i="1" s="1"/>
  <c r="BD21" i="1"/>
  <c r="BE21" i="1" s="1"/>
  <c r="BB21" i="1"/>
  <c r="AZ21" i="1"/>
  <c r="BA21" i="1" s="1"/>
  <c r="AX21" i="1"/>
  <c r="AY21" i="1" s="1"/>
  <c r="AV21" i="1"/>
  <c r="AT21" i="1"/>
  <c r="AU21" i="1" s="1"/>
  <c r="AQ21" i="1"/>
  <c r="AN21" i="1"/>
  <c r="AK21" i="1"/>
  <c r="AM21" i="1" s="1"/>
  <c r="AJ21" i="1"/>
  <c r="AR21" i="1" s="1"/>
  <c r="AI21" i="1"/>
  <c r="AH21" i="1"/>
  <c r="AG21" i="1"/>
  <c r="AF21" i="1"/>
  <c r="AE21" i="1"/>
  <c r="AD21" i="1"/>
  <c r="BY21" i="1" s="1"/>
  <c r="CE21" i="1" s="1"/>
  <c r="AB21" i="1"/>
  <c r="X21" i="1"/>
  <c r="Y21" i="1" s="1"/>
  <c r="V21" i="1"/>
  <c r="W21" i="1" s="1"/>
  <c r="T21" i="1"/>
  <c r="U21" i="1" s="1"/>
  <c r="S21" i="1"/>
  <c r="R21" i="1"/>
  <c r="Q21" i="1"/>
  <c r="P21" i="1"/>
  <c r="O21" i="1"/>
  <c r="N21" i="1"/>
  <c r="M21" i="1"/>
  <c r="AS21" i="1" s="1"/>
  <c r="L21" i="1"/>
  <c r="K21" i="1"/>
  <c r="J21" i="1"/>
  <c r="I21" i="1"/>
  <c r="H21" i="1"/>
  <c r="G21" i="1"/>
  <c r="F21" i="1"/>
  <c r="F20" i="1" s="1"/>
  <c r="E21" i="1"/>
  <c r="AS20" i="1"/>
  <c r="AJ20" i="1"/>
  <c r="AG20" i="1"/>
  <c r="AG124" i="1" s="1"/>
  <c r="AG126" i="1" s="1"/>
  <c r="G20" i="1"/>
  <c r="G124" i="1" s="1"/>
  <c r="AS17" i="1"/>
  <c r="AM17" i="1"/>
  <c r="AX16" i="1"/>
  <c r="AV16" i="1"/>
  <c r="AR16" i="1"/>
  <c r="AL16" i="1"/>
  <c r="AJ16" i="1"/>
  <c r="AI16" i="1"/>
  <c r="AH16" i="1"/>
  <c r="AG16" i="1"/>
  <c r="AF16" i="1"/>
  <c r="AE16" i="1"/>
  <c r="AC16" i="1"/>
  <c r="AB16" i="1"/>
  <c r="S16" i="1"/>
  <c r="P16" i="1"/>
  <c r="M16" i="1"/>
  <c r="K16" i="1" s="1"/>
  <c r="L16" i="1"/>
  <c r="BP15" i="1"/>
  <c r="BN15" i="1"/>
  <c r="BH15" i="1"/>
  <c r="BI15" i="1" s="1"/>
  <c r="AV15" i="1"/>
  <c r="AW15" i="1" s="1"/>
  <c r="AQ15" i="1"/>
  <c r="AS15" i="1" s="1"/>
  <c r="AN15" i="1"/>
  <c r="M15" i="1"/>
  <c r="L15" i="1"/>
  <c r="K15" i="1"/>
  <c r="AR13" i="1"/>
  <c r="AL13" i="1"/>
  <c r="AJ13" i="1"/>
  <c r="AI13" i="1"/>
  <c r="AH13" i="1"/>
  <c r="AG13" i="1"/>
  <c r="AF13" i="1"/>
  <c r="AE13" i="1"/>
  <c r="AC13" i="1"/>
  <c r="AB13" i="1"/>
  <c r="BH11" i="1"/>
  <c r="AR9" i="1"/>
  <c r="AL9" i="1"/>
  <c r="AJ9" i="1"/>
  <c r="AI9" i="1"/>
  <c r="AH9" i="1"/>
  <c r="AG9" i="1"/>
  <c r="AF9" i="1"/>
  <c r="AE9" i="1"/>
  <c r="AD9" i="1"/>
  <c r="AC9" i="1"/>
  <c r="AB9" i="1"/>
  <c r="AA9" i="1"/>
  <c r="Z9" i="1"/>
  <c r="AD13" i="1" l="1"/>
  <c r="AK224" i="1"/>
  <c r="Q241" i="1"/>
  <c r="U241" i="1" s="1"/>
  <c r="BD237" i="1"/>
  <c r="BE237" i="1" s="1"/>
  <c r="P241" i="1"/>
  <c r="P240" i="1" s="1"/>
  <c r="N240" i="1" s="1"/>
  <c r="Y241" i="1"/>
  <c r="X274" i="1"/>
  <c r="U238" i="1"/>
  <c r="K224" i="1"/>
  <c r="AU224" i="1" s="1"/>
  <c r="AA231" i="1"/>
  <c r="AA13" i="1" s="1"/>
  <c r="Q235" i="1"/>
  <c r="U235" i="1" s="1"/>
  <c r="AS235" i="1"/>
  <c r="M215" i="1"/>
  <c r="M214" i="1" s="1"/>
  <c r="M213" i="1" s="1"/>
  <c r="K213" i="1" s="1"/>
  <c r="P235" i="1"/>
  <c r="N235" i="1" s="1"/>
  <c r="AD235" i="1"/>
  <c r="BY235" i="1" s="1"/>
  <c r="AD241" i="1"/>
  <c r="BY241" i="1" s="1"/>
  <c r="AU238" i="1"/>
  <c r="AA220" i="1"/>
  <c r="BY220" i="1"/>
  <c r="Y229" i="1"/>
  <c r="Q232" i="1"/>
  <c r="U232" i="1" s="1"/>
  <c r="AK238" i="1"/>
  <c r="AM238" i="1" s="1"/>
  <c r="X236" i="1"/>
  <c r="T236" i="1" s="1"/>
  <c r="K237" i="1"/>
  <c r="K236" i="1" s="1"/>
  <c r="BG225" i="1"/>
  <c r="AY232" i="1"/>
  <c r="P233" i="1"/>
  <c r="N233" i="1" s="1"/>
  <c r="M236" i="1"/>
  <c r="K233" i="1"/>
  <c r="L226" i="1"/>
  <c r="AU235" i="1"/>
  <c r="AT231" i="1"/>
  <c r="AU231" i="1" s="1"/>
  <c r="BY231" i="1"/>
  <c r="Y243" i="1"/>
  <c r="G243" i="1"/>
  <c r="AY243" i="1"/>
  <c r="L244" i="1"/>
  <c r="L243" i="1" s="1"/>
  <c r="AW243" i="1" s="1"/>
  <c r="Q243" i="1"/>
  <c r="AW245" i="1"/>
  <c r="BZ243" i="1"/>
  <c r="AM246" i="1"/>
  <c r="AR274" i="1"/>
  <c r="Q245" i="1"/>
  <c r="Q244" i="1" s="1"/>
  <c r="AP245" i="1"/>
  <c r="AY245" i="1"/>
  <c r="CJ244" i="1"/>
  <c r="AU247" i="1"/>
  <c r="AM248" i="1"/>
  <c r="BM225" i="1"/>
  <c r="M226" i="1"/>
  <c r="BJ229" i="1"/>
  <c r="BF229" i="1" s="1"/>
  <c r="BF216" i="1" s="1"/>
  <c r="K216" i="1"/>
  <c r="BE224" i="1"/>
  <c r="BY228" i="1"/>
  <c r="M274" i="1"/>
  <c r="S11" i="1"/>
  <c r="S215" i="1"/>
  <c r="S214" i="1" s="1"/>
  <c r="Y216" i="1"/>
  <c r="BK223" i="1"/>
  <c r="P228" i="1"/>
  <c r="N228" i="1" s="1"/>
  <c r="AD219" i="1"/>
  <c r="Z219" i="1" s="1"/>
  <c r="AA219" i="1" s="1"/>
  <c r="BM220" i="1"/>
  <c r="K219" i="1"/>
  <c r="BJ219" i="1"/>
  <c r="BJ218" i="1" s="1"/>
  <c r="AK222" i="1"/>
  <c r="AM222" i="1" s="1"/>
  <c r="BA222" i="1"/>
  <c r="BL235" i="1"/>
  <c r="BM235" i="1" s="1"/>
  <c r="Q240" i="1"/>
  <c r="AD240" i="1"/>
  <c r="Z240" i="1" s="1"/>
  <c r="K223" i="1"/>
  <c r="M218" i="1"/>
  <c r="BD223" i="1"/>
  <c r="AZ223" i="1" s="1"/>
  <c r="AT223" i="1"/>
  <c r="BM223" i="1" s="1"/>
  <c r="M11" i="1"/>
  <c r="AL274" i="1"/>
  <c r="T216" i="1"/>
  <c r="AP216" i="1" s="1"/>
  <c r="P219" i="1"/>
  <c r="N219" i="1" s="1"/>
  <c r="U220" i="1"/>
  <c r="AZ220" i="1"/>
  <c r="BA220" i="1" s="1"/>
  <c r="BG221" i="1"/>
  <c r="AD222" i="1"/>
  <c r="Z222" i="1" s="1"/>
  <c r="AA222" i="1" s="1"/>
  <c r="P224" i="1"/>
  <c r="N224" i="1" s="1"/>
  <c r="BV224" i="1"/>
  <c r="BR224" i="1" s="1"/>
  <c r="AZ225" i="1"/>
  <c r="BA225" i="1" s="1"/>
  <c r="AT227" i="1"/>
  <c r="BM227" i="1" s="1"/>
  <c r="BW227" i="1"/>
  <c r="BQ231" i="1"/>
  <c r="BD234" i="1"/>
  <c r="BE234" i="1" s="1"/>
  <c r="L236" i="1"/>
  <c r="I244" i="1"/>
  <c r="I243" i="1" s="1"/>
  <c r="H243" i="1" s="1"/>
  <c r="BP243" i="1"/>
  <c r="BL243" i="1" s="1"/>
  <c r="CH245" i="1"/>
  <c r="AL247" i="1"/>
  <c r="BG231" i="1"/>
  <c r="AY216" i="1"/>
  <c r="X224" i="1"/>
  <c r="AD224" i="1" s="1"/>
  <c r="Z224" i="1" s="1"/>
  <c r="AA224" i="1" s="1"/>
  <c r="BD227" i="1"/>
  <c r="AZ227" i="1" s="1"/>
  <c r="BM231" i="1"/>
  <c r="Z13" i="1"/>
  <c r="M14" i="1"/>
  <c r="K14" i="1" s="1"/>
  <c r="AU14" i="1" s="1"/>
  <c r="AX11" i="1"/>
  <c r="AE274" i="1"/>
  <c r="O214" i="1"/>
  <c r="BV216" i="1"/>
  <c r="AM224" i="1"/>
  <c r="AQ231" i="1"/>
  <c r="AY231" i="1"/>
  <c r="BK231" i="1"/>
  <c r="BP234" i="1"/>
  <c r="BQ234" i="1" s="1"/>
  <c r="AZ238" i="1"/>
  <c r="BA238" i="1" s="1"/>
  <c r="U243" i="1"/>
  <c r="AU244" i="1"/>
  <c r="F243" i="1"/>
  <c r="E243" i="1" s="1"/>
  <c r="AP157" i="1"/>
  <c r="N159" i="1"/>
  <c r="BG159" i="1"/>
  <c r="P157" i="1"/>
  <c r="AU156" i="1"/>
  <c r="E157" i="1"/>
  <c r="Q157" i="1"/>
  <c r="AM157" i="1" s="1"/>
  <c r="AL158" i="1"/>
  <c r="BU158" i="1"/>
  <c r="AM159" i="1"/>
  <c r="V158" i="1"/>
  <c r="V157" i="1" s="1"/>
  <c r="W157" i="1" s="1"/>
  <c r="AU155" i="1"/>
  <c r="AV157" i="1"/>
  <c r="AM158" i="1"/>
  <c r="AT158" i="1"/>
  <c r="AU158" i="1" s="1"/>
  <c r="CA159" i="1"/>
  <c r="AZ160" i="1"/>
  <c r="BA160" i="1" s="1"/>
  <c r="Z161" i="1"/>
  <c r="AA161" i="1" s="1"/>
  <c r="AA156" i="1"/>
  <c r="BG156" i="1"/>
  <c r="U156" i="1"/>
  <c r="CA156" i="1"/>
  <c r="BL156" i="1"/>
  <c r="BM156" i="1" s="1"/>
  <c r="BV156" i="1"/>
  <c r="S151" i="1"/>
  <c r="Q151" i="1" s="1"/>
  <c r="AM153" i="1"/>
  <c r="AZ152" i="1"/>
  <c r="J152" i="1"/>
  <c r="J151" i="1" s="1"/>
  <c r="H151" i="1" s="1"/>
  <c r="CA154" i="1"/>
  <c r="X152" i="1"/>
  <c r="AK152" i="1"/>
  <c r="AK151" i="1" s="1"/>
  <c r="AS152" i="1"/>
  <c r="AA153" i="1"/>
  <c r="AA154" i="1"/>
  <c r="Z151" i="1"/>
  <c r="P152" i="1"/>
  <c r="P151" i="1" s="1"/>
  <c r="AT153" i="1"/>
  <c r="AU153" i="1" s="1"/>
  <c r="BP154" i="1"/>
  <c r="BQ154" i="1" s="1"/>
  <c r="AM156" i="1"/>
  <c r="BB151" i="1"/>
  <c r="BB210" i="1" s="1"/>
  <c r="M151" i="1"/>
  <c r="K151" i="1" s="1"/>
  <c r="AG151" i="1"/>
  <c r="AG210" i="1" s="1"/>
  <c r="AG277" i="1" s="1"/>
  <c r="CD151" i="1"/>
  <c r="CE151" i="1" s="1"/>
  <c r="K152" i="1"/>
  <c r="Q152" i="1"/>
  <c r="AA152" i="1" s="1"/>
  <c r="BY152" i="1"/>
  <c r="T153" i="1"/>
  <c r="U153" i="1" s="1"/>
  <c r="BP153" i="1"/>
  <c r="AG128" i="1"/>
  <c r="BT147" i="1"/>
  <c r="BU147" i="1" s="1"/>
  <c r="AO147" i="1"/>
  <c r="U149" i="1"/>
  <c r="AC149" i="1"/>
  <c r="E144" i="1"/>
  <c r="CH139" i="1"/>
  <c r="CF141" i="1"/>
  <c r="CF139" i="1" s="1"/>
  <c r="BP138" i="1"/>
  <c r="AX136" i="1"/>
  <c r="AJ136" i="1"/>
  <c r="BF138" i="1"/>
  <c r="BF136" i="1" s="1"/>
  <c r="AP139" i="1"/>
  <c r="AR139" i="1"/>
  <c r="BB140" i="1"/>
  <c r="Q139" i="1"/>
  <c r="U139" i="1" s="1"/>
  <c r="BT141" i="1"/>
  <c r="BU141" i="1" s="1"/>
  <c r="BF139" i="1"/>
  <c r="AO276" i="1"/>
  <c r="BI140" i="1"/>
  <c r="BB142" i="1"/>
  <c r="BB138" i="1" s="1"/>
  <c r="BC138" i="1" s="1"/>
  <c r="G136" i="1"/>
  <c r="AF136" i="1"/>
  <c r="AF128" i="1" s="1"/>
  <c r="L139" i="1"/>
  <c r="BT139" i="1" s="1"/>
  <c r="J138" i="1"/>
  <c r="J136" i="1" s="1"/>
  <c r="I142" i="1"/>
  <c r="H142" i="1" s="1"/>
  <c r="CE276" i="1"/>
  <c r="I143" i="1"/>
  <c r="H143" i="1" s="1"/>
  <c r="BK276" i="1"/>
  <c r="J129" i="1"/>
  <c r="AT134" i="1"/>
  <c r="AU134" i="1" s="1"/>
  <c r="H135" i="1"/>
  <c r="BD110" i="1"/>
  <c r="Q108" i="1"/>
  <c r="AZ114" i="1"/>
  <c r="BA114" i="1" s="1"/>
  <c r="AY117" i="1"/>
  <c r="BM122" i="1"/>
  <c r="AU113" i="1"/>
  <c r="BS114" i="1"/>
  <c r="BK118" i="1"/>
  <c r="AY118" i="1"/>
  <c r="AT118" i="1"/>
  <c r="AU118" i="1" s="1"/>
  <c r="AX116" i="1"/>
  <c r="AT116" i="1" s="1"/>
  <c r="AA114" i="1"/>
  <c r="U114" i="1"/>
  <c r="AU114" i="1"/>
  <c r="AU108" i="1"/>
  <c r="AZ106" i="1"/>
  <c r="P107" i="1"/>
  <c r="P104" i="1" s="1"/>
  <c r="X110" i="1"/>
  <c r="AD110" i="1" s="1"/>
  <c r="Z110" i="1" s="1"/>
  <c r="AA110" i="1" s="1"/>
  <c r="BG114" i="1"/>
  <c r="BJ120" i="1"/>
  <c r="AK106" i="1"/>
  <c r="AM106" i="1" s="1"/>
  <c r="AM105" i="1" s="1"/>
  <c r="Q110" i="1"/>
  <c r="P112" i="1"/>
  <c r="N112" i="1" s="1"/>
  <c r="AX112" i="1"/>
  <c r="BP112" i="1" s="1"/>
  <c r="BL114" i="1"/>
  <c r="BM114" i="1" s="1"/>
  <c r="BG115" i="1"/>
  <c r="AT120" i="1"/>
  <c r="AU120" i="1" s="1"/>
  <c r="BR121" i="1"/>
  <c r="BS121" i="1" s="1"/>
  <c r="BP115" i="1"/>
  <c r="BS118" i="1"/>
  <c r="AU123" i="1"/>
  <c r="M104" i="1"/>
  <c r="K104" i="1" s="1"/>
  <c r="M111" i="1"/>
  <c r="AD113" i="1"/>
  <c r="Z113" i="1" s="1"/>
  <c r="AA113" i="1" s="1"/>
  <c r="AM114" i="1"/>
  <c r="AM115" i="1"/>
  <c r="AY115" i="1"/>
  <c r="BR115" i="1"/>
  <c r="BJ117" i="1"/>
  <c r="BD118" i="1"/>
  <c r="AT119" i="1"/>
  <c r="AU119" i="1" s="1"/>
  <c r="BL119" i="1"/>
  <c r="AT121" i="1"/>
  <c r="AU121" i="1" s="1"/>
  <c r="BL121" i="1"/>
  <c r="AU122" i="1"/>
  <c r="F89" i="1"/>
  <c r="E89" i="1" s="1"/>
  <c r="W89" i="1"/>
  <c r="AC92" i="1"/>
  <c r="AB97" i="1"/>
  <c r="Z97" i="1" s="1"/>
  <c r="O100" i="1"/>
  <c r="N100" i="1" s="1"/>
  <c r="CA101" i="1"/>
  <c r="AM103" i="1"/>
  <c r="AF89" i="1"/>
  <c r="AE89" i="1" s="1"/>
  <c r="AL98" i="1"/>
  <c r="BD89" i="1"/>
  <c r="BN93" i="1"/>
  <c r="BO93" i="1" s="1"/>
  <c r="I94" i="1"/>
  <c r="H94" i="1" s="1"/>
  <c r="AO94" i="1"/>
  <c r="O94" i="1"/>
  <c r="N94" i="1" s="1"/>
  <c r="BR98" i="1"/>
  <c r="BS98" i="1" s="1"/>
  <c r="CA98" i="1"/>
  <c r="BU99" i="1"/>
  <c r="I100" i="1"/>
  <c r="H100" i="1" s="1"/>
  <c r="AB100" i="1"/>
  <c r="Z100" i="1" s="1"/>
  <c r="M84" i="1"/>
  <c r="BD23" i="1"/>
  <c r="R84" i="1"/>
  <c r="Q84" i="1" s="1"/>
  <c r="AU87" i="1"/>
  <c r="AU88" i="1"/>
  <c r="BM79" i="1"/>
  <c r="AM77" i="1"/>
  <c r="BA75" i="1"/>
  <c r="BU75" i="1"/>
  <c r="AB72" i="1"/>
  <c r="U73" i="1"/>
  <c r="L68" i="1"/>
  <c r="CA69" i="1"/>
  <c r="AM71" i="1"/>
  <c r="U71" i="1"/>
  <c r="E63" i="1"/>
  <c r="AZ66" i="1"/>
  <c r="BA66" i="1" s="1"/>
  <c r="Z67" i="1"/>
  <c r="BZ63" i="1"/>
  <c r="CA64" i="1"/>
  <c r="CA65" i="1"/>
  <c r="BD58" i="1"/>
  <c r="BB62" i="1"/>
  <c r="BC62" i="1" s="1"/>
  <c r="V57" i="1"/>
  <c r="W57" i="1" s="1"/>
  <c r="AO58" i="1"/>
  <c r="CA62" i="1"/>
  <c r="M57" i="1"/>
  <c r="M55" i="1" s="1"/>
  <c r="K55" i="1" s="1"/>
  <c r="BA55" i="1" s="1"/>
  <c r="L58" i="1"/>
  <c r="L57" i="1" s="1"/>
  <c r="AB57" i="1" s="1"/>
  <c r="AC57" i="1" s="1"/>
  <c r="AV58" i="1"/>
  <c r="O60" i="1"/>
  <c r="N60" i="1" s="1"/>
  <c r="AW60" i="1"/>
  <c r="AB61" i="1"/>
  <c r="AC61" i="1" s="1"/>
  <c r="BI62" i="1"/>
  <c r="W24" i="1"/>
  <c r="AD49" i="1"/>
  <c r="AD47" i="1" s="1"/>
  <c r="E50" i="1"/>
  <c r="BY50" i="1"/>
  <c r="CE50" i="1" s="1"/>
  <c r="Q51" i="1"/>
  <c r="BG51" i="1"/>
  <c r="V51" i="1"/>
  <c r="W51" i="1" s="1"/>
  <c r="CA51" i="1"/>
  <c r="AM52" i="1"/>
  <c r="V48" i="1"/>
  <c r="AU43" i="1"/>
  <c r="AC43" i="1"/>
  <c r="BL45" i="1"/>
  <c r="BM45" i="1" s="1"/>
  <c r="AL48" i="1"/>
  <c r="Y42" i="1"/>
  <c r="AH45" i="1"/>
  <c r="AL45" i="1" s="1"/>
  <c r="AZ40" i="1"/>
  <c r="W38" i="1"/>
  <c r="I38" i="1"/>
  <c r="H38" i="1" s="1"/>
  <c r="BL40" i="1"/>
  <c r="BM40" i="1" s="1"/>
  <c r="AI32" i="1"/>
  <c r="AI31" i="1" s="1"/>
  <c r="AH31" i="1" s="1"/>
  <c r="U34" i="1"/>
  <c r="E35" i="1"/>
  <c r="Z35" i="1"/>
  <c r="AR32" i="1"/>
  <c r="Z36" i="1"/>
  <c r="AA36" i="1" s="1"/>
  <c r="AW33" i="1"/>
  <c r="BZ34" i="1"/>
  <c r="CA34" i="1" s="1"/>
  <c r="AL37" i="1"/>
  <c r="AH28" i="1"/>
  <c r="BT28" i="1"/>
  <c r="BG30" i="1"/>
  <c r="CA30" i="1"/>
  <c r="BP26" i="1"/>
  <c r="BP20" i="1" s="1"/>
  <c r="AL30" i="1"/>
  <c r="W28" i="1"/>
  <c r="AO28" i="1"/>
  <c r="AA29" i="1"/>
  <c r="AZ30" i="1"/>
  <c r="BA30" i="1" s="1"/>
  <c r="BR30" i="1"/>
  <c r="BS30" i="1" s="1"/>
  <c r="AU23" i="1"/>
  <c r="AL23" i="1"/>
  <c r="U23" i="1"/>
  <c r="K56" i="1"/>
  <c r="AU56" i="1" s="1"/>
  <c r="AI82" i="1"/>
  <c r="AI20" i="1" s="1"/>
  <c r="AI124" i="1" s="1"/>
  <c r="AI126" i="1" s="1"/>
  <c r="AH89" i="1"/>
  <c r="AH82" i="1" s="1"/>
  <c r="AH20" i="1" s="1"/>
  <c r="BN36" i="1"/>
  <c r="BN24" i="1" s="1"/>
  <c r="BY58" i="1"/>
  <c r="AU60" i="1"/>
  <c r="BG60" i="1"/>
  <c r="AO89" i="1"/>
  <c r="U92" i="1"/>
  <c r="T90" i="1"/>
  <c r="Q94" i="1"/>
  <c r="U94" i="1" s="1"/>
  <c r="W94" i="1"/>
  <c r="W90" i="1"/>
  <c r="BA22" i="1"/>
  <c r="AM23" i="1"/>
  <c r="AR25" i="1"/>
  <c r="BL28" i="1"/>
  <c r="AL29" i="1"/>
  <c r="BM29" i="1"/>
  <c r="BY32" i="1"/>
  <c r="CE32" i="1" s="1"/>
  <c r="AU33" i="1"/>
  <c r="BG33" i="1"/>
  <c r="W32" i="1"/>
  <c r="AH32" i="1"/>
  <c r="Q32" i="1"/>
  <c r="AO35" i="1"/>
  <c r="AO32" i="1" s="1"/>
  <c r="T32" i="1"/>
  <c r="T31" i="1" s="1"/>
  <c r="U31" i="1" s="1"/>
  <c r="BD32" i="1"/>
  <c r="BD26" i="1" s="1"/>
  <c r="AH38" i="1"/>
  <c r="BF38" i="1"/>
  <c r="BG40" i="1"/>
  <c r="CA40" i="1"/>
  <c r="CC41" i="1"/>
  <c r="Q42" i="1"/>
  <c r="AV42" i="1"/>
  <c r="AU45" i="1"/>
  <c r="AL46" i="1"/>
  <c r="BI47" i="1"/>
  <c r="F49" i="1"/>
  <c r="E49" i="1" s="1"/>
  <c r="U52" i="1"/>
  <c r="AZ56" i="1"/>
  <c r="AP58" i="1"/>
  <c r="H60" i="1"/>
  <c r="AA69" i="1"/>
  <c r="BF72" i="1"/>
  <c r="BG72" i="1" s="1"/>
  <c r="BG73" i="1"/>
  <c r="BA74" i="1"/>
  <c r="AZ74" i="1"/>
  <c r="BC74" i="1"/>
  <c r="AC79" i="1"/>
  <c r="CA79" i="1"/>
  <c r="Z81" i="1"/>
  <c r="AC81" i="1"/>
  <c r="AB85" i="1"/>
  <c r="Z85" i="1" s="1"/>
  <c r="AW85" i="1"/>
  <c r="L84" i="1"/>
  <c r="AW84" i="1" s="1"/>
  <c r="BB85" i="1"/>
  <c r="BC85" i="1" s="1"/>
  <c r="E100" i="1"/>
  <c r="BU103" i="1"/>
  <c r="CC28" i="1"/>
  <c r="AB32" i="1"/>
  <c r="AP32" i="1"/>
  <c r="AL36" i="1"/>
  <c r="AC37" i="1"/>
  <c r="AC32" i="1" s="1"/>
  <c r="AU40" i="1"/>
  <c r="BA40" i="1"/>
  <c r="AL47" i="1"/>
  <c r="BV49" i="1"/>
  <c r="BV26" i="1" s="1"/>
  <c r="BV20" i="1" s="1"/>
  <c r="AA52" i="1"/>
  <c r="AL52" i="1"/>
  <c r="AB55" i="1"/>
  <c r="AC55" i="1" s="1"/>
  <c r="BB61" i="1"/>
  <c r="BC61" i="1" s="1"/>
  <c r="O61" i="1"/>
  <c r="N61" i="1" s="1"/>
  <c r="I61" i="1"/>
  <c r="H61" i="1" s="1"/>
  <c r="BT61" i="1"/>
  <c r="BU61" i="1" s="1"/>
  <c r="K61" i="1"/>
  <c r="AU61" i="1" s="1"/>
  <c r="U62" i="1"/>
  <c r="AA67" i="1"/>
  <c r="AW70" i="1"/>
  <c r="AT70" i="1"/>
  <c r="AU70" i="1" s="1"/>
  <c r="BI70" i="1"/>
  <c r="AA75" i="1"/>
  <c r="U75" i="1"/>
  <c r="Q74" i="1"/>
  <c r="AL81" i="1"/>
  <c r="CC82" i="1"/>
  <c r="V84" i="1"/>
  <c r="V82" i="1" s="1"/>
  <c r="R82" i="1"/>
  <c r="AP82" i="1" s="1"/>
  <c r="BB86" i="1"/>
  <c r="AZ86" i="1" s="1"/>
  <c r="BA86" i="1" s="1"/>
  <c r="Q86" i="1"/>
  <c r="U88" i="1"/>
  <c r="W91" i="1"/>
  <c r="Q91" i="1"/>
  <c r="U91" i="1" s="1"/>
  <c r="BB91" i="1"/>
  <c r="AP100" i="1"/>
  <c r="AU22" i="1"/>
  <c r="AS23" i="1"/>
  <c r="BB23" i="1"/>
  <c r="BU23" i="1" s="1"/>
  <c r="BR23" i="1"/>
  <c r="BS23" i="1" s="1"/>
  <c r="R25" i="1"/>
  <c r="Q25" i="1" s="1"/>
  <c r="AB28" i="1"/>
  <c r="Z28" i="1" s="1"/>
  <c r="AA28" i="1" s="1"/>
  <c r="BE23" i="1"/>
  <c r="AU30" i="1"/>
  <c r="BM30" i="1"/>
  <c r="AN32" i="1"/>
  <c r="AN31" i="1" s="1"/>
  <c r="AO31" i="1" s="1"/>
  <c r="CC32" i="1"/>
  <c r="BM33" i="1"/>
  <c r="BI33" i="1"/>
  <c r="CA33" i="1"/>
  <c r="AL34" i="1"/>
  <c r="AM37" i="1"/>
  <c r="K38" i="1"/>
  <c r="N39" i="1"/>
  <c r="BT38" i="1"/>
  <c r="BR38" i="1" s="1"/>
  <c r="U40" i="1"/>
  <c r="K42" i="1"/>
  <c r="R41" i="1"/>
  <c r="AP41" i="1" s="1"/>
  <c r="CC42" i="1"/>
  <c r="BD41" i="1"/>
  <c r="AM45" i="1"/>
  <c r="AM46" i="1"/>
  <c r="BG46" i="1"/>
  <c r="AC47" i="1"/>
  <c r="BN47" i="1"/>
  <c r="BO47" i="1" s="1"/>
  <c r="BL54" i="1"/>
  <c r="AL55" i="1"/>
  <c r="U56" i="1"/>
  <c r="AN56" i="1"/>
  <c r="K57" i="1"/>
  <c r="AH57" i="1"/>
  <c r="Q58" i="1"/>
  <c r="Q57" i="1" s="1"/>
  <c r="AB64" i="1"/>
  <c r="AC64" i="1" s="1"/>
  <c r="T64" i="1"/>
  <c r="U64" i="1" s="1"/>
  <c r="U65" i="1"/>
  <c r="AL66" i="1"/>
  <c r="U69" i="1"/>
  <c r="AZ73" i="1"/>
  <c r="BA73" i="1" s="1"/>
  <c r="BC75" i="1"/>
  <c r="BU76" i="1"/>
  <c r="AW76" i="1"/>
  <c r="W78" i="1"/>
  <c r="T78" i="1"/>
  <c r="U78" i="1" s="1"/>
  <c r="BR79" i="1"/>
  <c r="AZ81" i="1"/>
  <c r="BA81" i="1" s="1"/>
  <c r="N87" i="1"/>
  <c r="O85" i="1"/>
  <c r="O84" i="1" s="1"/>
  <c r="N84" i="1" s="1"/>
  <c r="BB93" i="1"/>
  <c r="BC93" i="1" s="1"/>
  <c r="AB93" i="1"/>
  <c r="Z93" i="1" s="1"/>
  <c r="AA93" i="1" s="1"/>
  <c r="AP94" i="1"/>
  <c r="BU95" i="1"/>
  <c r="BR95" i="1"/>
  <c r="BS95" i="1" s="1"/>
  <c r="AT98" i="1"/>
  <c r="AU98" i="1" s="1"/>
  <c r="BN99" i="1"/>
  <c r="AW99" i="1"/>
  <c r="AV100" i="1"/>
  <c r="BI100" i="1" s="1"/>
  <c r="AH63" i="1"/>
  <c r="BD63" i="1"/>
  <c r="BG67" i="1"/>
  <c r="BG80" i="1"/>
  <c r="BG81" i="1"/>
  <c r="BS87" i="1"/>
  <c r="BN96" i="1"/>
  <c r="BL96" i="1" s="1"/>
  <c r="CA99" i="1"/>
  <c r="W58" i="1"/>
  <c r="BI58" i="1"/>
  <c r="AB60" i="1"/>
  <c r="AC60" i="1" s="1"/>
  <c r="AH61" i="1"/>
  <c r="AH58" i="1" s="1"/>
  <c r="AL58" i="1" s="1"/>
  <c r="K65" i="1"/>
  <c r="AV65" i="1"/>
  <c r="BI65" i="1" s="1"/>
  <c r="BR65" i="1"/>
  <c r="AM66" i="1"/>
  <c r="Z66" i="1"/>
  <c r="AA66" i="1" s="1"/>
  <c r="AU66" i="1"/>
  <c r="BG66" i="1"/>
  <c r="AL67" i="1"/>
  <c r="BG75" i="1"/>
  <c r="BO76" i="1"/>
  <c r="AU81" i="1"/>
  <c r="CA81" i="1"/>
  <c r="BD84" i="1"/>
  <c r="Q90" i="1"/>
  <c r="AO90" i="1"/>
  <c r="AR82" i="1"/>
  <c r="CA95" i="1"/>
  <c r="AT96" i="1"/>
  <c r="BI96" i="1"/>
  <c r="O97" i="1"/>
  <c r="N97" i="1" s="1"/>
  <c r="AA98" i="1"/>
  <c r="BR101" i="1"/>
  <c r="BS101" i="1" s="1"/>
  <c r="BR102" i="1"/>
  <c r="BS102" i="1" s="1"/>
  <c r="Z103" i="1"/>
  <c r="AL103" i="1"/>
  <c r="AU103" i="1"/>
  <c r="CA103" i="1"/>
  <c r="AK122" i="1"/>
  <c r="AM122" i="1" s="1"/>
  <c r="AJ122" i="1"/>
  <c r="AR122" i="1" s="1"/>
  <c r="AS122" i="1"/>
  <c r="BI135" i="1"/>
  <c r="BG150" i="1"/>
  <c r="V129" i="1"/>
  <c r="T129" i="1" s="1"/>
  <c r="AR130" i="1"/>
  <c r="AC134" i="1"/>
  <c r="BI134" i="1"/>
  <c r="BP139" i="1"/>
  <c r="BD138" i="1"/>
  <c r="H148" i="1"/>
  <c r="BI150" i="1"/>
  <c r="AH208" i="1"/>
  <c r="AH274" i="1" s="1"/>
  <c r="J208" i="1"/>
  <c r="J274" i="1" s="1"/>
  <c r="S129" i="1"/>
  <c r="Y129" i="1" s="1"/>
  <c r="CE129" i="1" s="1"/>
  <c r="BD130" i="1"/>
  <c r="AM134" i="1"/>
  <c r="BN135" i="1"/>
  <c r="BO135" i="1" s="1"/>
  <c r="BJ136" i="1"/>
  <c r="BP136" i="1" s="1"/>
  <c r="W138" i="1"/>
  <c r="S139" i="1"/>
  <c r="S136" i="1" s="1"/>
  <c r="AD136" i="1" s="1"/>
  <c r="BY136" i="1" s="1"/>
  <c r="BD139" i="1"/>
  <c r="BD136" i="1" s="1"/>
  <c r="AD141" i="1"/>
  <c r="Z141" i="1" s="1"/>
  <c r="AL141" i="1"/>
  <c r="BB141" i="1"/>
  <c r="W144" i="1"/>
  <c r="AP147" i="1"/>
  <c r="AQ148" i="1"/>
  <c r="AK148" i="1" s="1"/>
  <c r="AM149" i="1"/>
  <c r="AW149" i="1"/>
  <c r="AW150" i="1"/>
  <c r="BL150" i="1"/>
  <c r="BM150" i="1" s="1"/>
  <c r="BU156" i="1"/>
  <c r="AO163" i="1"/>
  <c r="W276" i="1"/>
  <c r="BG149" i="1"/>
  <c r="W135" i="1"/>
  <c r="AP137" i="1"/>
  <c r="U142" i="1"/>
  <c r="BI149" i="1"/>
  <c r="G208" i="1"/>
  <c r="G274" i="1" s="1"/>
  <c r="G128" i="1"/>
  <c r="G162" i="1" s="1"/>
  <c r="G164" i="1" s="1"/>
  <c r="E129" i="1"/>
  <c r="AH129" i="1"/>
  <c r="AI136" i="1"/>
  <c r="BV140" i="1"/>
  <c r="CC140" i="1" s="1"/>
  <c r="W139" i="1"/>
  <c r="CE138" i="1"/>
  <c r="I141" i="1"/>
  <c r="O141" i="1"/>
  <c r="N141" i="1" s="1"/>
  <c r="N139" i="1" s="1"/>
  <c r="U141" i="1"/>
  <c r="AE139" i="1"/>
  <c r="AE136" i="1" s="1"/>
  <c r="BG141" i="1"/>
  <c r="CC142" i="1"/>
  <c r="CC276" i="1" s="1"/>
  <c r="AA146" i="1"/>
  <c r="BL146" i="1"/>
  <c r="S147" i="1"/>
  <c r="BY147" i="1" s="1"/>
  <c r="E147" i="1"/>
  <c r="Q148" i="1"/>
  <c r="Q147" i="1" s="1"/>
  <c r="AH148" i="1"/>
  <c r="AH147" i="1" s="1"/>
  <c r="BY148" i="1"/>
  <c r="BD147" i="1"/>
  <c r="BR149" i="1"/>
  <c r="BS149" i="1" s="1"/>
  <c r="H150" i="1"/>
  <c r="CC150" i="1"/>
  <c r="CA153" i="1"/>
  <c r="CJ164" i="1"/>
  <c r="AR163" i="1"/>
  <c r="Y276" i="1"/>
  <c r="S26" i="1"/>
  <c r="Q28" i="1"/>
  <c r="AM28" i="1" s="1"/>
  <c r="H30" i="1"/>
  <c r="I28" i="1"/>
  <c r="H28" i="1" s="1"/>
  <c r="BO39" i="1"/>
  <c r="BN38" i="1"/>
  <c r="Y50" i="1"/>
  <c r="T50" i="1"/>
  <c r="X49" i="1"/>
  <c r="AE58" i="1"/>
  <c r="AG57" i="1"/>
  <c r="AE57" i="1" s="1"/>
  <c r="F124" i="1"/>
  <c r="E20" i="1"/>
  <c r="E124" i="1" s="1"/>
  <c r="AZ29" i="1"/>
  <c r="AZ28" i="1" s="1"/>
  <c r="BA28" i="1" s="1"/>
  <c r="BB28" i="1"/>
  <c r="CC31" i="1"/>
  <c r="CB26" i="1"/>
  <c r="CD31" i="1"/>
  <c r="AL33" i="1"/>
  <c r="Z39" i="1"/>
  <c r="AA39" i="1" s="1"/>
  <c r="AC39" i="1"/>
  <c r="AM40" i="1"/>
  <c r="AL40" i="1"/>
  <c r="CC48" i="1"/>
  <c r="CB25" i="1"/>
  <c r="BF56" i="1"/>
  <c r="BG56" i="1" s="1"/>
  <c r="BI56" i="1"/>
  <c r="BH53" i="1"/>
  <c r="BT56" i="1"/>
  <c r="BT25" i="1" s="1"/>
  <c r="BS62" i="1"/>
  <c r="CC96" i="1"/>
  <c r="BZ96" i="1"/>
  <c r="CA96" i="1" s="1"/>
  <c r="AL102" i="1"/>
  <c r="AM102" i="1"/>
  <c r="BZ134" i="1"/>
  <c r="CA134" i="1" s="1"/>
  <c r="CC134" i="1"/>
  <c r="Y154" i="1"/>
  <c r="T154" i="1"/>
  <c r="U154" i="1" s="1"/>
  <c r="CJ169" i="1"/>
  <c r="CH172" i="1"/>
  <c r="CH169" i="1" s="1"/>
  <c r="U183" i="1"/>
  <c r="T168" i="1"/>
  <c r="BL15" i="1"/>
  <c r="BO15" i="1"/>
  <c r="AT16" i="1"/>
  <c r="AU16" i="1" s="1"/>
  <c r="AW16" i="1"/>
  <c r="AC23" i="1"/>
  <c r="Z23" i="1"/>
  <c r="AA23" i="1" s="1"/>
  <c r="AP23" i="1"/>
  <c r="CE23" i="1"/>
  <c r="BI28" i="1"/>
  <c r="BR28" i="1"/>
  <c r="BS28" i="1" s="1"/>
  <c r="BU28" i="1"/>
  <c r="E32" i="1"/>
  <c r="F31" i="1"/>
  <c r="E31" i="1" s="1"/>
  <c r="U35" i="1"/>
  <c r="U32" i="1" s="1"/>
  <c r="BL36" i="1"/>
  <c r="BF37" i="1"/>
  <c r="AV37" i="1"/>
  <c r="BH35" i="1"/>
  <c r="BT35" i="1" s="1"/>
  <c r="BH25" i="1"/>
  <c r="BF25" i="1" s="1"/>
  <c r="AC38" i="1"/>
  <c r="Z38" i="1"/>
  <c r="AA38" i="1" s="1"/>
  <c r="BG38" i="1"/>
  <c r="AZ43" i="1"/>
  <c r="BA43" i="1" s="1"/>
  <c r="BC43" i="1"/>
  <c r="AL44" i="1"/>
  <c r="AK42" i="1"/>
  <c r="CC44" i="1"/>
  <c r="AD45" i="1"/>
  <c r="BY47" i="1"/>
  <c r="AE50" i="1"/>
  <c r="AF49" i="1"/>
  <c r="AE49" i="1" s="1"/>
  <c r="V49" i="1"/>
  <c r="AL51" i="1"/>
  <c r="U53" i="1"/>
  <c r="BN56" i="1"/>
  <c r="BJ57" i="1"/>
  <c r="BJ26" i="1" s="1"/>
  <c r="BJ20" i="1" s="1"/>
  <c r="BF58" i="1"/>
  <c r="BT63" i="1"/>
  <c r="CA63" i="1" s="1"/>
  <c r="BU64" i="1"/>
  <c r="BR64" i="1"/>
  <c r="BS64" i="1" s="1"/>
  <c r="K68" i="1"/>
  <c r="AB68" i="1"/>
  <c r="AV71" i="1"/>
  <c r="AV68" i="1" s="1"/>
  <c r="BH68" i="1"/>
  <c r="BF71" i="1"/>
  <c r="BL73" i="1"/>
  <c r="BO73" i="1"/>
  <c r="BN72" i="1"/>
  <c r="BO72" i="1" s="1"/>
  <c r="AT74" i="1"/>
  <c r="AW74" i="1"/>
  <c r="AL79" i="1"/>
  <c r="AM79" i="1"/>
  <c r="AZ93" i="1"/>
  <c r="BA93" i="1" s="1"/>
  <c r="BF100" i="1"/>
  <c r="BT100" i="1"/>
  <c r="AL101" i="1"/>
  <c r="AM101" i="1"/>
  <c r="BK108" i="1"/>
  <c r="BF108" i="1"/>
  <c r="BG108" i="1" s="1"/>
  <c r="BV108" i="1"/>
  <c r="BP108" i="1"/>
  <c r="AT109" i="1"/>
  <c r="BJ109" i="1"/>
  <c r="BF109" i="1" s="1"/>
  <c r="AQ109" i="1"/>
  <c r="AY109" i="1"/>
  <c r="K130" i="1"/>
  <c r="BV131" i="1"/>
  <c r="M129" i="1"/>
  <c r="K129" i="1" s="1"/>
  <c r="BP130" i="1"/>
  <c r="AX129" i="1"/>
  <c r="BF170" i="1"/>
  <c r="BG170" i="1" s="1"/>
  <c r="BI170" i="1"/>
  <c r="Z168" i="1"/>
  <c r="AA168" i="1" s="1"/>
  <c r="AA171" i="1"/>
  <c r="CA171" i="1"/>
  <c r="BZ168" i="1"/>
  <c r="Z172" i="1"/>
  <c r="AB169" i="1"/>
  <c r="AC169" i="1" s="1"/>
  <c r="AC172" i="1"/>
  <c r="AB170" i="1"/>
  <c r="BO22" i="1"/>
  <c r="BL22" i="1"/>
  <c r="BM22" i="1" s="1"/>
  <c r="BG23" i="1"/>
  <c r="AA30" i="1"/>
  <c r="X31" i="1"/>
  <c r="X25" i="1" s="1"/>
  <c r="Y25" i="1" s="1"/>
  <c r="X26" i="1"/>
  <c r="U36" i="1"/>
  <c r="T24" i="1"/>
  <c r="U24" i="1" s="1"/>
  <c r="BR37" i="1"/>
  <c r="BS37" i="1" s="1"/>
  <c r="BU37" i="1"/>
  <c r="AL39" i="1"/>
  <c r="AK38" i="1"/>
  <c r="AM38" i="1" s="1"/>
  <c r="BL39" i="1"/>
  <c r="BM39" i="1" s="1"/>
  <c r="Z87" i="1"/>
  <c r="AA87" i="1" s="1"/>
  <c r="AC87" i="1"/>
  <c r="BK113" i="1"/>
  <c r="BF113" i="1"/>
  <c r="BG113" i="1" s="1"/>
  <c r="BP113" i="1"/>
  <c r="BV113" i="1"/>
  <c r="BJ111" i="1"/>
  <c r="AK15" i="1"/>
  <c r="AM15" i="1" s="1"/>
  <c r="AP15" i="1"/>
  <c r="AC22" i="1"/>
  <c r="Z22" i="1"/>
  <c r="AA22" i="1" s="1"/>
  <c r="AW23" i="1"/>
  <c r="O28" i="1"/>
  <c r="N29" i="1"/>
  <c r="U30" i="1"/>
  <c r="K31" i="1"/>
  <c r="AB31" i="1"/>
  <c r="AA35" i="1"/>
  <c r="AE42" i="1"/>
  <c r="AG41" i="1"/>
  <c r="AE41" i="1" s="1"/>
  <c r="AA53" i="1"/>
  <c r="M53" i="1"/>
  <c r="G126" i="1"/>
  <c r="AP21" i="1"/>
  <c r="AO21" i="1"/>
  <c r="AW21" i="1"/>
  <c r="BU21" i="1"/>
  <c r="BR21" i="1"/>
  <c r="BS21" i="1" s="1"/>
  <c r="AR26" i="1"/>
  <c r="AR20" i="1" s="1"/>
  <c r="AQ20" i="1"/>
  <c r="AW28" i="1"/>
  <c r="BO28" i="1"/>
  <c r="BF28" i="1"/>
  <c r="BZ32" i="1"/>
  <c r="BO33" i="1"/>
  <c r="K32" i="1"/>
  <c r="AM35" i="1"/>
  <c r="AK32" i="1"/>
  <c r="AK31" i="1" s="1"/>
  <c r="AL35" i="1"/>
  <c r="AZ36" i="1"/>
  <c r="BC36" i="1"/>
  <c r="BZ38" i="1"/>
  <c r="AT38" i="1"/>
  <c r="AU39" i="1"/>
  <c r="BG39" i="1"/>
  <c r="Q41" i="1"/>
  <c r="BL43" i="1"/>
  <c r="BM43" i="1" s="1"/>
  <c r="BO43" i="1"/>
  <c r="BB44" i="1"/>
  <c r="W44" i="1"/>
  <c r="Q44" i="1"/>
  <c r="U44" i="1" s="1"/>
  <c r="AC44" i="1"/>
  <c r="AI41" i="1"/>
  <c r="AH42" i="1"/>
  <c r="CC46" i="1"/>
  <c r="CB24" i="1"/>
  <c r="BG52" i="1"/>
  <c r="CE58" i="1"/>
  <c r="BZ58" i="1"/>
  <c r="AZ60" i="1"/>
  <c r="BC60" i="1"/>
  <c r="AP72" i="1"/>
  <c r="Q72" i="1"/>
  <c r="AM72" i="1" s="1"/>
  <c r="AM73" i="1"/>
  <c r="AL73" i="1"/>
  <c r="BR74" i="1"/>
  <c r="BS74" i="1" s="1"/>
  <c r="BU74" i="1"/>
  <c r="CA74" i="1"/>
  <c r="O74" i="1"/>
  <c r="N75" i="1"/>
  <c r="N74" i="1" s="1"/>
  <c r="E85" i="1"/>
  <c r="F84" i="1"/>
  <c r="E84" i="1" s="1"/>
  <c r="CC85" i="1"/>
  <c r="BZ85" i="1"/>
  <c r="CA85" i="1" s="1"/>
  <c r="I86" i="1"/>
  <c r="H86" i="1" s="1"/>
  <c r="E86" i="1"/>
  <c r="AM87" i="1"/>
  <c r="AK85" i="1"/>
  <c r="AL87" i="1"/>
  <c r="AC91" i="1"/>
  <c r="Z91" i="1"/>
  <c r="AA91" i="1" s="1"/>
  <c r="H92" i="1"/>
  <c r="AT92" i="1"/>
  <c r="BB92" i="1"/>
  <c r="AW92" i="1"/>
  <c r="BN92" i="1"/>
  <c r="AV90" i="1"/>
  <c r="AL100" i="1"/>
  <c r="AM100" i="1"/>
  <c r="AS116" i="1"/>
  <c r="K116" i="1"/>
  <c r="BE120" i="1"/>
  <c r="AZ120" i="1"/>
  <c r="BA120" i="1" s="1"/>
  <c r="BU143" i="1"/>
  <c r="BR143" i="1"/>
  <c r="BS143" i="1" s="1"/>
  <c r="BF144" i="1"/>
  <c r="CH148" i="1"/>
  <c r="CJ147" i="1"/>
  <c r="AY16" i="1"/>
  <c r="AC21" i="1"/>
  <c r="Z21" i="1"/>
  <c r="AA21" i="1" s="1"/>
  <c r="BC21" i="1"/>
  <c r="BO21" i="1"/>
  <c r="BL21" i="1"/>
  <c r="BM21" i="1" s="1"/>
  <c r="AO22" i="1"/>
  <c r="AP22" i="1"/>
  <c r="AW22" i="1"/>
  <c r="BR22" i="1"/>
  <c r="BS22" i="1" s="1"/>
  <c r="BU22" i="1"/>
  <c r="BC23" i="1"/>
  <c r="W31" i="1"/>
  <c r="AP31" i="1"/>
  <c r="Y32" i="1"/>
  <c r="AE32" i="1"/>
  <c r="AT36" i="1"/>
  <c r="BI36" i="1"/>
  <c r="AW36" i="1"/>
  <c r="AV24" i="1"/>
  <c r="AW24" i="1" s="1"/>
  <c r="AA37" i="1"/>
  <c r="Z40" i="1"/>
  <c r="AA40" i="1" s="1"/>
  <c r="AC40" i="1"/>
  <c r="K41" i="1"/>
  <c r="W43" i="1"/>
  <c r="Q43" i="1"/>
  <c r="U43" i="1" s="1"/>
  <c r="H44" i="1"/>
  <c r="I42" i="1"/>
  <c r="AC45" i="1"/>
  <c r="BG45" i="1"/>
  <c r="AU46" i="1"/>
  <c r="AR50" i="1"/>
  <c r="AJ49" i="1"/>
  <c r="AR49" i="1" s="1"/>
  <c r="AZ51" i="1"/>
  <c r="BL52" i="1"/>
  <c r="BM52" i="1" s="1"/>
  <c r="AZ53" i="1"/>
  <c r="BC53" i="1"/>
  <c r="U54" i="1"/>
  <c r="AA56" i="1"/>
  <c r="T57" i="1"/>
  <c r="U57" i="1" s="1"/>
  <c r="AO57" i="1"/>
  <c r="CC57" i="1"/>
  <c r="AL60" i="1"/>
  <c r="BL60" i="1"/>
  <c r="BM60" i="1" s="1"/>
  <c r="BO60" i="1"/>
  <c r="Z62" i="1"/>
  <c r="AA62" i="1" s="1"/>
  <c r="AC62" i="1"/>
  <c r="BF63" i="1"/>
  <c r="BO64" i="1"/>
  <c r="BL64" i="1"/>
  <c r="AW65" i="1"/>
  <c r="BU66" i="1"/>
  <c r="BR66" i="1"/>
  <c r="BS66" i="1" s="1"/>
  <c r="BU69" i="1"/>
  <c r="BR69" i="1"/>
  <c r="BS69" i="1" s="1"/>
  <c r="BU70" i="1"/>
  <c r="BR70" i="1"/>
  <c r="BS70" i="1" s="1"/>
  <c r="BT71" i="1"/>
  <c r="AW72" i="1"/>
  <c r="AT72" i="1"/>
  <c r="AU72" i="1" s="1"/>
  <c r="BI77" i="1"/>
  <c r="BT77" i="1"/>
  <c r="BN77" i="1"/>
  <c r="BO77" i="1" s="1"/>
  <c r="AK82" i="1"/>
  <c r="AE84" i="1"/>
  <c r="AE82" i="1" s="1"/>
  <c r="AE20" i="1" s="1"/>
  <c r="AE124" i="1" s="1"/>
  <c r="AF82" i="1"/>
  <c r="AF20" i="1" s="1"/>
  <c r="AF124" i="1" s="1"/>
  <c r="BO98" i="1"/>
  <c r="BL98" i="1"/>
  <c r="AK110" i="1"/>
  <c r="AS110" i="1"/>
  <c r="BW119" i="1"/>
  <c r="BR119" i="1"/>
  <c r="BS119" i="1" s="1"/>
  <c r="BF131" i="1"/>
  <c r="BH130" i="1"/>
  <c r="BH132" i="1"/>
  <c r="BT131" i="1"/>
  <c r="AV131" i="1"/>
  <c r="BI131" i="1" s="1"/>
  <c r="AO138" i="1"/>
  <c r="AK138" i="1"/>
  <c r="AK136" i="1" s="1"/>
  <c r="AP138" i="1"/>
  <c r="AN136" i="1"/>
  <c r="BU160" i="1"/>
  <c r="BR160" i="1"/>
  <c r="BS160" i="1" s="1"/>
  <c r="AM174" i="1"/>
  <c r="AK173" i="1"/>
  <c r="AL174" i="1"/>
  <c r="E42" i="1"/>
  <c r="F41" i="1"/>
  <c r="E41" i="1" s="1"/>
  <c r="AU44" i="1"/>
  <c r="BG44" i="1"/>
  <c r="U45" i="1"/>
  <c r="N42" i="1"/>
  <c r="BR46" i="1"/>
  <c r="CC47" i="1"/>
  <c r="BY48" i="1"/>
  <c r="AD46" i="1"/>
  <c r="BT54" i="1"/>
  <c r="BT24" i="1" s="1"/>
  <c r="I54" i="1"/>
  <c r="BB54" i="1"/>
  <c r="L50" i="1"/>
  <c r="AB54" i="1"/>
  <c r="O54" i="1"/>
  <c r="AM58" i="1"/>
  <c r="BR60" i="1"/>
  <c r="BS60" i="1" s="1"/>
  <c r="BU60" i="1"/>
  <c r="AO63" i="1"/>
  <c r="AM65" i="1"/>
  <c r="AL65" i="1"/>
  <c r="BC67" i="1"/>
  <c r="AZ67" i="1"/>
  <c r="BA67" i="1" s="1"/>
  <c r="BI69" i="1"/>
  <c r="AW69" i="1"/>
  <c r="AT69" i="1"/>
  <c r="AU69" i="1" s="1"/>
  <c r="BN69" i="1"/>
  <c r="BB69" i="1"/>
  <c r="AC71" i="1"/>
  <c r="Z71" i="1"/>
  <c r="AA71" i="1" s="1"/>
  <c r="W72" i="1"/>
  <c r="CC73" i="1"/>
  <c r="BZ73" i="1"/>
  <c r="AW80" i="1"/>
  <c r="K80" i="1"/>
  <c r="L78" i="1"/>
  <c r="K78" i="1" s="1"/>
  <c r="AU78" i="1" s="1"/>
  <c r="BB80" i="1"/>
  <c r="BB78" i="1" s="1"/>
  <c r="BT80" i="1"/>
  <c r="X84" i="1"/>
  <c r="Y85" i="1"/>
  <c r="AC88" i="1"/>
  <c r="Z88" i="1"/>
  <c r="AA88" i="1" s="1"/>
  <c r="BT94" i="1"/>
  <c r="K94" i="1"/>
  <c r="AV94" i="1"/>
  <c r="AB94" i="1"/>
  <c r="BR96" i="1"/>
  <c r="BS96" i="1" s="1"/>
  <c r="BU96" i="1"/>
  <c r="H103" i="1"/>
  <c r="J23" i="1"/>
  <c r="H23" i="1" s="1"/>
  <c r="AA103" i="1"/>
  <c r="CJ277" i="1"/>
  <c r="CJ124" i="1"/>
  <c r="CJ210" i="1"/>
  <c r="CH104" i="1"/>
  <c r="X122" i="1"/>
  <c r="AD122" i="1" s="1"/>
  <c r="BY122" i="1" s="1"/>
  <c r="AZ134" i="1"/>
  <c r="BA134" i="1" s="1"/>
  <c r="BC134" i="1"/>
  <c r="BV135" i="1"/>
  <c r="CB135" i="1" s="1"/>
  <c r="BJ129" i="1"/>
  <c r="BF135" i="1"/>
  <c r="V208" i="1"/>
  <c r="T137" i="1"/>
  <c r="V136" i="1"/>
  <c r="W137" i="1"/>
  <c r="V163" i="1"/>
  <c r="AD139" i="1"/>
  <c r="BY139" i="1" s="1"/>
  <c r="BY141" i="1"/>
  <c r="Z174" i="1"/>
  <c r="AA174" i="1" s="1"/>
  <c r="AB168" i="1"/>
  <c r="AC174" i="1"/>
  <c r="T63" i="1"/>
  <c r="U63" i="1" s="1"/>
  <c r="W63" i="1"/>
  <c r="CA66" i="1"/>
  <c r="BR67" i="1"/>
  <c r="BS67" i="1" s="1"/>
  <c r="BU67" i="1"/>
  <c r="O70" i="1"/>
  <c r="Q70" i="1"/>
  <c r="R68" i="1"/>
  <c r="AC72" i="1"/>
  <c r="Z72" i="1"/>
  <c r="AA72" i="1" s="1"/>
  <c r="AC73" i="1"/>
  <c r="Z73" i="1"/>
  <c r="AA73" i="1" s="1"/>
  <c r="BL84" i="1"/>
  <c r="BD82" i="1"/>
  <c r="AP97" i="1"/>
  <c r="AK97" i="1"/>
  <c r="AM97" i="1" s="1"/>
  <c r="AO97" i="1"/>
  <c r="BC101" i="1"/>
  <c r="AZ101" i="1"/>
  <c r="BA101" i="1" s="1"/>
  <c r="BC102" i="1"/>
  <c r="AZ102" i="1"/>
  <c r="BA102" i="1" s="1"/>
  <c r="T107" i="1"/>
  <c r="AD107" i="1"/>
  <c r="Z107" i="1" s="1"/>
  <c r="AA107" i="1" s="1"/>
  <c r="Y107" i="1"/>
  <c r="P117" i="1"/>
  <c r="N117" i="1" s="1"/>
  <c r="S116" i="1"/>
  <c r="Q117" i="1"/>
  <c r="AM117" i="1" s="1"/>
  <c r="AZ117" i="1"/>
  <c r="BA117" i="1" s="1"/>
  <c r="BE117" i="1"/>
  <c r="BV120" i="1"/>
  <c r="BF120" i="1"/>
  <c r="AR129" i="1"/>
  <c r="AJ128" i="1"/>
  <c r="AO130" i="1"/>
  <c r="AK130" i="1"/>
  <c r="AN129" i="1"/>
  <c r="N131" i="1"/>
  <c r="Z140" i="1"/>
  <c r="AB138" i="1"/>
  <c r="AC140" i="1"/>
  <c r="AZ140" i="1"/>
  <c r="BC140" i="1"/>
  <c r="G210" i="1"/>
  <c r="E151" i="1"/>
  <c r="AU152" i="1"/>
  <c r="AT151" i="1"/>
  <c r="H152" i="1"/>
  <c r="AL157" i="1"/>
  <c r="Q170" i="1"/>
  <c r="U170" i="1" s="1"/>
  <c r="BY170" i="1"/>
  <c r="BP177" i="1"/>
  <c r="BP176" i="1" s="1"/>
  <c r="BP175" i="1" s="1"/>
  <c r="BL178" i="1"/>
  <c r="BM178" i="1" s="1"/>
  <c r="AC194" i="1"/>
  <c r="Z194" i="1"/>
  <c r="AA194" i="1" s="1"/>
  <c r="AB210" i="1"/>
  <c r="CB277" i="1"/>
  <c r="CB210" i="1"/>
  <c r="BZ104" i="1"/>
  <c r="BA106" i="1"/>
  <c r="AZ110" i="1"/>
  <c r="BA110" i="1" s="1"/>
  <c r="BE110" i="1"/>
  <c r="BS115" i="1"/>
  <c r="H131" i="1"/>
  <c r="I130" i="1"/>
  <c r="CD128" i="1"/>
  <c r="CD162" i="1" s="1"/>
  <c r="K208" i="1"/>
  <c r="K163" i="1"/>
  <c r="AH276" i="1"/>
  <c r="AH138" i="1"/>
  <c r="AH136" i="1" s="1"/>
  <c r="AZ148" i="1"/>
  <c r="BC148" i="1"/>
  <c r="BC159" i="1"/>
  <c r="AZ159" i="1"/>
  <c r="BA159" i="1" s="1"/>
  <c r="AE166" i="1"/>
  <c r="AE206" i="1" s="1"/>
  <c r="AL168" i="1"/>
  <c r="AM168" i="1"/>
  <c r="AM172" i="1"/>
  <c r="AK170" i="1"/>
  <c r="BC190" i="1"/>
  <c r="BB34" i="1"/>
  <c r="BN34" i="1"/>
  <c r="AP42" i="1"/>
  <c r="BB42" i="1"/>
  <c r="AO45" i="1"/>
  <c r="BB47" i="1"/>
  <c r="BN48" i="1"/>
  <c r="BB58" i="1"/>
  <c r="AO61" i="1"/>
  <c r="BB64" i="1"/>
  <c r="AL69" i="1"/>
  <c r="BC77" i="1"/>
  <c r="AZ77" i="1"/>
  <c r="BA77" i="1" s="1"/>
  <c r="BB76" i="1"/>
  <c r="AA79" i="1"/>
  <c r="BL80" i="1"/>
  <c r="BM80" i="1" s="1"/>
  <c r="BN78" i="1"/>
  <c r="BL78" i="1" s="1"/>
  <c r="AO85" i="1"/>
  <c r="AP85" i="1"/>
  <c r="AN84" i="1"/>
  <c r="BH84" i="1"/>
  <c r="BF85" i="1"/>
  <c r="AL86" i="1"/>
  <c r="CC87" i="1"/>
  <c r="BZ87" i="1"/>
  <c r="CA87" i="1" s="1"/>
  <c r="CC93" i="1"/>
  <c r="BZ93" i="1"/>
  <c r="BC95" i="1"/>
  <c r="AZ95" i="1"/>
  <c r="BA95" i="1" s="1"/>
  <c r="AC102" i="1"/>
  <c r="Z102" i="1"/>
  <c r="AA102" i="1" s="1"/>
  <c r="U103" i="1"/>
  <c r="BC103" i="1"/>
  <c r="AZ103" i="1"/>
  <c r="AM118" i="1"/>
  <c r="P121" i="1"/>
  <c r="N121" i="1" s="1"/>
  <c r="Q121" i="1"/>
  <c r="AM121" i="1" s="1"/>
  <c r="AH130" i="1"/>
  <c r="AI129" i="1"/>
  <c r="AI128" i="1" s="1"/>
  <c r="CJ129" i="1"/>
  <c r="CH131" i="1"/>
  <c r="BT208" i="1"/>
  <c r="BU137" i="1"/>
  <c r="AK276" i="1"/>
  <c r="AL142" i="1"/>
  <c r="AM142" i="1"/>
  <c r="O145" i="1"/>
  <c r="BT145" i="1"/>
  <c r="K145" i="1"/>
  <c r="L144" i="1"/>
  <c r="I145" i="1"/>
  <c r="BY151" i="1"/>
  <c r="N158" i="1"/>
  <c r="AL171" i="1"/>
  <c r="AP173" i="1"/>
  <c r="AO173" i="1"/>
  <c r="BO196" i="1"/>
  <c r="BE219" i="1"/>
  <c r="AZ219" i="1"/>
  <c r="BA219" i="1" s="1"/>
  <c r="T230" i="1"/>
  <c r="AL21" i="1"/>
  <c r="CC21" i="1"/>
  <c r="AL22" i="1"/>
  <c r="CC22" i="1"/>
  <c r="AR23" i="1"/>
  <c r="J20" i="1"/>
  <c r="O23" i="1"/>
  <c r="N23" i="1" s="1"/>
  <c r="CB23" i="1"/>
  <c r="AS24" i="1"/>
  <c r="BD28" i="1"/>
  <c r="BD22" i="1" s="1"/>
  <c r="BE22" i="1" s="1"/>
  <c r="BZ28" i="1"/>
  <c r="CA28" i="1" s="1"/>
  <c r="AD31" i="1"/>
  <c r="Z33" i="1"/>
  <c r="AA33" i="1" s="1"/>
  <c r="BB33" i="1"/>
  <c r="Z34" i="1"/>
  <c r="AM34" i="1"/>
  <c r="AM32" i="1" s="1"/>
  <c r="AT34" i="1"/>
  <c r="BG34" i="1" s="1"/>
  <c r="BR34" i="1"/>
  <c r="BS34" i="1" s="1"/>
  <c r="I35" i="1"/>
  <c r="O35" i="1"/>
  <c r="N35" i="1" s="1"/>
  <c r="I37" i="1"/>
  <c r="O37" i="1"/>
  <c r="BZ37" i="1"/>
  <c r="CA37" i="1" s="1"/>
  <c r="T38" i="1"/>
  <c r="U38" i="1" s="1"/>
  <c r="AP38" i="1"/>
  <c r="AW38" i="1"/>
  <c r="AW39" i="1"/>
  <c r="BI39" i="1"/>
  <c r="BZ39" i="1"/>
  <c r="CA39" i="1" s="1"/>
  <c r="BL44" i="1"/>
  <c r="BM44" i="1" s="1"/>
  <c r="AZ45" i="1"/>
  <c r="BA45" i="1" s="1"/>
  <c r="BI45" i="1"/>
  <c r="Z46" i="1"/>
  <c r="AA46" i="1" s="1"/>
  <c r="AZ46" i="1"/>
  <c r="BA46" i="1" s="1"/>
  <c r="BL46" i="1"/>
  <c r="BM46" i="1" s="1"/>
  <c r="Z47" i="1"/>
  <c r="AA47" i="1" s="1"/>
  <c r="AM47" i="1"/>
  <c r="AT47" i="1"/>
  <c r="BF47" i="1"/>
  <c r="BT47" i="1"/>
  <c r="BU47" i="1" s="1"/>
  <c r="T48" i="1"/>
  <c r="U48" i="1" s="1"/>
  <c r="AT48" i="1"/>
  <c r="AU48" i="1" s="1"/>
  <c r="CD49" i="1"/>
  <c r="AW52" i="1"/>
  <c r="BI52" i="1"/>
  <c r="AI54" i="1"/>
  <c r="AT54" i="1"/>
  <c r="Z55" i="1"/>
  <c r="AA55" i="1" s="1"/>
  <c r="BF55" i="1"/>
  <c r="AK56" i="1"/>
  <c r="BZ56" i="1"/>
  <c r="AP57" i="1"/>
  <c r="AV57" i="1"/>
  <c r="BH57" i="1"/>
  <c r="BI57" i="1" s="1"/>
  <c r="BN58" i="1"/>
  <c r="AM60" i="1"/>
  <c r="BZ60" i="1"/>
  <c r="CA60" i="1" s="1"/>
  <c r="Z61" i="1"/>
  <c r="AA61" i="1" s="1"/>
  <c r="BL61" i="1"/>
  <c r="BM61" i="1" s="1"/>
  <c r="AT62" i="1"/>
  <c r="BG62" i="1" s="1"/>
  <c r="L63" i="1"/>
  <c r="AP63" i="1"/>
  <c r="W64" i="1"/>
  <c r="AT64" i="1"/>
  <c r="AU64" i="1" s="1"/>
  <c r="BI64" i="1"/>
  <c r="I65" i="1"/>
  <c r="O65" i="1"/>
  <c r="AB65" i="1"/>
  <c r="BL66" i="1"/>
  <c r="BM66" i="1" s="1"/>
  <c r="BZ67" i="1"/>
  <c r="CA67" i="1" s="1"/>
  <c r="CC71" i="1"/>
  <c r="BB72" i="1"/>
  <c r="BT73" i="1"/>
  <c r="BI74" i="1"/>
  <c r="BR75" i="1"/>
  <c r="BS75" i="1" s="1"/>
  <c r="BG76" i="1"/>
  <c r="BS77" i="1"/>
  <c r="K76" i="1"/>
  <c r="BS76" i="1" s="1"/>
  <c r="U77" i="1"/>
  <c r="BG77" i="1"/>
  <c r="AW78" i="1"/>
  <c r="AZ79" i="1"/>
  <c r="BA79" i="1" s="1"/>
  <c r="CC79" i="1"/>
  <c r="AB78" i="1"/>
  <c r="Z80" i="1"/>
  <c r="AU80" i="1"/>
  <c r="AA81" i="1"/>
  <c r="AM81" i="1"/>
  <c r="E82" i="1"/>
  <c r="M82" i="1"/>
  <c r="AT84" i="1"/>
  <c r="AC85" i="1"/>
  <c r="AU85" i="1"/>
  <c r="BB84" i="1"/>
  <c r="AB86" i="1"/>
  <c r="W86" i="1"/>
  <c r="T86" i="1"/>
  <c r="BC86" i="1"/>
  <c r="CC86" i="1"/>
  <c r="BZ86" i="1"/>
  <c r="CA86" i="1" s="1"/>
  <c r="N85" i="1"/>
  <c r="AZ87" i="1"/>
  <c r="AL88" i="1"/>
  <c r="AM88" i="1"/>
  <c r="BC88" i="1"/>
  <c r="S89" i="1"/>
  <c r="S82" i="1" s="1"/>
  <c r="BY90" i="1"/>
  <c r="CE90" i="1" s="1"/>
  <c r="AL91" i="1"/>
  <c r="AA92" i="1"/>
  <c r="AM92" i="1"/>
  <c r="AK90" i="1"/>
  <c r="I93" i="1"/>
  <c r="H93" i="1" s="1"/>
  <c r="L90" i="1"/>
  <c r="O93" i="1"/>
  <c r="N93" i="1" s="1"/>
  <c r="AW93" i="1"/>
  <c r="BI93" i="1"/>
  <c r="CJ82" i="1"/>
  <c r="CH94" i="1"/>
  <c r="AC95" i="1"/>
  <c r="Z95" i="1"/>
  <c r="AA95" i="1" s="1"/>
  <c r="BN95" i="1"/>
  <c r="AW95" i="1"/>
  <c r="BI95" i="1"/>
  <c r="AT95" i="1"/>
  <c r="AU95" i="1" s="1"/>
  <c r="AC96" i="1"/>
  <c r="Z96" i="1"/>
  <c r="AA96" i="1" s="1"/>
  <c r="BO96" i="1"/>
  <c r="AV97" i="1"/>
  <c r="BT97" i="1"/>
  <c r="CA97" i="1" s="1"/>
  <c r="K97" i="1"/>
  <c r="AC97" i="1"/>
  <c r="AC98" i="1"/>
  <c r="AC99" i="1"/>
  <c r="Z99" i="1"/>
  <c r="AA99" i="1" s="1"/>
  <c r="BG99" i="1"/>
  <c r="BS99" i="1"/>
  <c r="CC100" i="1"/>
  <c r="BG103" i="1"/>
  <c r="BS103" i="1"/>
  <c r="BE108" i="1"/>
  <c r="AZ108" i="1"/>
  <c r="BA108" i="1" s="1"/>
  <c r="AY110" i="1"/>
  <c r="AK112" i="1"/>
  <c r="AQ111" i="1"/>
  <c r="AS111" i="1" s="1"/>
  <c r="BD112" i="1"/>
  <c r="Y113" i="1"/>
  <c r="AU115" i="1"/>
  <c r="AU117" i="1"/>
  <c r="BQ118" i="1"/>
  <c r="AM119" i="1"/>
  <c r="P120" i="1"/>
  <c r="N120" i="1" s="1"/>
  <c r="Q120" i="1"/>
  <c r="AM120" i="1" s="1"/>
  <c r="AW134" i="1"/>
  <c r="BN134" i="1"/>
  <c r="BG134" i="1"/>
  <c r="BT134" i="1"/>
  <c r="BP135" i="1"/>
  <c r="AY135" i="1"/>
  <c r="AT135" i="1"/>
  <c r="AU135" i="1" s="1"/>
  <c r="I138" i="1"/>
  <c r="O139" i="1"/>
  <c r="N140" i="1"/>
  <c r="AM140" i="1"/>
  <c r="AL140" i="1"/>
  <c r="BZ141" i="1"/>
  <c r="CC141" i="1"/>
  <c r="BC142" i="1"/>
  <c r="BO142" i="1"/>
  <c r="BL142" i="1"/>
  <c r="CC144" i="1"/>
  <c r="BZ144" i="1"/>
  <c r="CA144" i="1" s="1"/>
  <c r="T144" i="1"/>
  <c r="AV145" i="1"/>
  <c r="BB145" i="1" s="1"/>
  <c r="I147" i="1"/>
  <c r="BR147" i="1"/>
  <c r="H149" i="1"/>
  <c r="J147" i="1"/>
  <c r="AA149" i="1"/>
  <c r="Y152" i="1"/>
  <c r="X151" i="1"/>
  <c r="T152" i="1"/>
  <c r="BF152" i="1"/>
  <c r="BG152" i="1" s="1"/>
  <c r="AZ154" i="1"/>
  <c r="BA154" i="1" s="1"/>
  <c r="BT157" i="1"/>
  <c r="K157" i="1"/>
  <c r="AL159" i="1"/>
  <c r="AU159" i="1"/>
  <c r="BG160" i="1"/>
  <c r="BL161" i="1"/>
  <c r="BM161" i="1" s="1"/>
  <c r="BF208" i="1"/>
  <c r="AE170" i="1"/>
  <c r="AO170" i="1"/>
  <c r="Q173" i="1"/>
  <c r="AB173" i="1"/>
  <c r="W173" i="1"/>
  <c r="CA176" i="1"/>
  <c r="BL177" i="1"/>
  <c r="BM177" i="1" s="1"/>
  <c r="BT177" i="1"/>
  <c r="BO177" i="1"/>
  <c r="BA183" i="1"/>
  <c r="H184" i="1"/>
  <c r="I169" i="1"/>
  <c r="Z184" i="1"/>
  <c r="AA184" i="1" s="1"/>
  <c r="AC184" i="1"/>
  <c r="BC184" i="1"/>
  <c r="BB182" i="1"/>
  <c r="AZ184" i="1"/>
  <c r="BA184" i="1" s="1"/>
  <c r="BB169" i="1"/>
  <c r="BC169" i="1" s="1"/>
  <c r="BO184" i="1"/>
  <c r="BT184" i="1"/>
  <c r="BS194" i="1"/>
  <c r="BO202" i="1"/>
  <c r="Z203" i="1"/>
  <c r="AC203" i="1"/>
  <c r="AB201" i="1"/>
  <c r="AY221" i="1"/>
  <c r="AQ221" i="1"/>
  <c r="AX218" i="1"/>
  <c r="BQ218" i="1" s="1"/>
  <c r="BQ221" i="1"/>
  <c r="N222" i="1"/>
  <c r="AS227" i="1"/>
  <c r="AK227" i="1"/>
  <c r="AM227" i="1" s="1"/>
  <c r="AS268" i="1"/>
  <c r="AR268" i="1"/>
  <c r="BB48" i="1"/>
  <c r="BZ50" i="1"/>
  <c r="BT55" i="1"/>
  <c r="CA55" i="1" s="1"/>
  <c r="U66" i="1"/>
  <c r="BB71" i="1"/>
  <c r="U72" i="1"/>
  <c r="BR85" i="1"/>
  <c r="BS85" i="1" s="1"/>
  <c r="BT84" i="1"/>
  <c r="U87" i="1"/>
  <c r="I88" i="1"/>
  <c r="H88" i="1" s="1"/>
  <c r="E88" i="1"/>
  <c r="Y90" i="1"/>
  <c r="X89" i="1"/>
  <c r="AM93" i="1"/>
  <c r="AC101" i="1"/>
  <c r="Z101" i="1"/>
  <c r="AA101" i="1" s="1"/>
  <c r="BN101" i="1"/>
  <c r="AW101" i="1"/>
  <c r="BI101" i="1"/>
  <c r="AT101" i="1"/>
  <c r="AU101" i="1" s="1"/>
  <c r="BN102" i="1"/>
  <c r="AW102" i="1"/>
  <c r="BI102" i="1"/>
  <c r="AT102" i="1"/>
  <c r="AU102" i="1" s="1"/>
  <c r="BM103" i="1"/>
  <c r="E210" i="1"/>
  <c r="P108" i="1"/>
  <c r="N108" i="1" s="1"/>
  <c r="S105" i="1"/>
  <c r="Q105" i="1" s="1"/>
  <c r="AT112" i="1"/>
  <c r="AX111" i="1"/>
  <c r="BV112" i="1"/>
  <c r="AO131" i="1"/>
  <c r="AK131" i="1"/>
  <c r="AP131" i="1"/>
  <c r="BF133" i="1"/>
  <c r="BG133" i="1" s="1"/>
  <c r="AV133" i="1"/>
  <c r="AL135" i="1"/>
  <c r="AR138" i="1"/>
  <c r="AQ136" i="1"/>
  <c r="AT143" i="1"/>
  <c r="AT139" i="1" s="1"/>
  <c r="AU139" i="1" s="1"/>
  <c r="BB143" i="1"/>
  <c r="BI143" i="1"/>
  <c r="AV139" i="1"/>
  <c r="BN143" i="1"/>
  <c r="BN276" i="1" s="1"/>
  <c r="BO276" i="1" s="1"/>
  <c r="AB148" i="1"/>
  <c r="AP148" i="1"/>
  <c r="O148" i="1"/>
  <c r="CA148" i="1"/>
  <c r="BZ147" i="1"/>
  <c r="CA147" i="1" s="1"/>
  <c r="AW157" i="1"/>
  <c r="AT157" i="1"/>
  <c r="AU157" i="1" s="1"/>
  <c r="BI157" i="1"/>
  <c r="CC166" i="1"/>
  <c r="CB206" i="1"/>
  <c r="CC206" i="1" s="1"/>
  <c r="AP168" i="1"/>
  <c r="AO168" i="1"/>
  <c r="AN167" i="1"/>
  <c r="CE170" i="1"/>
  <c r="BZ170" i="1"/>
  <c r="H171" i="1"/>
  <c r="H168" i="1" s="1"/>
  <c r="J170" i="1"/>
  <c r="BU174" i="1"/>
  <c r="BT173" i="1"/>
  <c r="AC175" i="1"/>
  <c r="Z175" i="1"/>
  <c r="AA175" i="1" s="1"/>
  <c r="K176" i="1"/>
  <c r="BT176" i="1"/>
  <c r="CA177" i="1"/>
  <c r="AU178" i="1"/>
  <c r="AT176" i="1"/>
  <c r="AU176" i="1" s="1"/>
  <c r="BT182" i="1"/>
  <c r="O182" i="1"/>
  <c r="N182" i="1" s="1"/>
  <c r="AB182" i="1"/>
  <c r="Q182" i="1"/>
  <c r="W182" i="1"/>
  <c r="BM185" i="1"/>
  <c r="AU185" i="1"/>
  <c r="BG185" i="1"/>
  <c r="BM196" i="1"/>
  <c r="BR237" i="1"/>
  <c r="BW237" i="1"/>
  <c r="I20" i="1"/>
  <c r="F208" i="1"/>
  <c r="BN23" i="1"/>
  <c r="AT28" i="1"/>
  <c r="AU28" i="1" s="1"/>
  <c r="AW34" i="1"/>
  <c r="BB39" i="1"/>
  <c r="BH42" i="1"/>
  <c r="W48" i="1"/>
  <c r="AW48" i="1"/>
  <c r="CD48" i="1"/>
  <c r="BB52" i="1"/>
  <c r="AW54" i="1"/>
  <c r="AV55" i="1"/>
  <c r="BI55" i="1" s="1"/>
  <c r="AK57" i="1"/>
  <c r="AW62" i="1"/>
  <c r="AK63" i="1"/>
  <c r="AW64" i="1"/>
  <c r="U67" i="1"/>
  <c r="BO67" i="1"/>
  <c r="W68" i="1"/>
  <c r="AM69" i="1"/>
  <c r="BN70" i="1"/>
  <c r="BB70" i="1"/>
  <c r="BC70" i="1" s="1"/>
  <c r="O71" i="1"/>
  <c r="N71" i="1" s="1"/>
  <c r="BH72" i="1"/>
  <c r="BI72" i="1" s="1"/>
  <c r="N73" i="1"/>
  <c r="N72" i="1" s="1"/>
  <c r="O72" i="1"/>
  <c r="BI73" i="1"/>
  <c r="AU75" i="1"/>
  <c r="AA77" i="1"/>
  <c r="AU77" i="1"/>
  <c r="U79" i="1"/>
  <c r="BS79" i="1"/>
  <c r="BO80" i="1"/>
  <c r="K84" i="1"/>
  <c r="BZ82" i="1"/>
  <c r="U85" i="1"/>
  <c r="AA85" i="1"/>
  <c r="AX82" i="1"/>
  <c r="AX20" i="1" s="1"/>
  <c r="AP89" i="1"/>
  <c r="T89" i="1"/>
  <c r="AU91" i="1"/>
  <c r="CC91" i="1"/>
  <c r="BZ91" i="1"/>
  <c r="CA91" i="1" s="1"/>
  <c r="BI92" i="1"/>
  <c r="BH90" i="1"/>
  <c r="BF92" i="1"/>
  <c r="BT92" i="1"/>
  <c r="CA92" i="1" s="1"/>
  <c r="U93" i="1"/>
  <c r="AL93" i="1"/>
  <c r="AU93" i="1"/>
  <c r="BG93" i="1"/>
  <c r="BT93" i="1"/>
  <c r="AL95" i="1"/>
  <c r="AM95" i="1"/>
  <c r="AL96" i="1"/>
  <c r="U97" i="1"/>
  <c r="AA97" i="1"/>
  <c r="BI97" i="1"/>
  <c r="AL99" i="1"/>
  <c r="AO100" i="1"/>
  <c r="BG102" i="1"/>
  <c r="BO103" i="1"/>
  <c r="CC103" i="1"/>
  <c r="Z106" i="1"/>
  <c r="AU106" i="1"/>
  <c r="X108" i="1"/>
  <c r="P109" i="1"/>
  <c r="N109" i="1" s="1"/>
  <c r="K109" i="1"/>
  <c r="BD109" i="1"/>
  <c r="AT110" i="1"/>
  <c r="AU110" i="1" s="1"/>
  <c r="BJ110" i="1"/>
  <c r="AY112" i="1"/>
  <c r="BK112" i="1"/>
  <c r="U113" i="1"/>
  <c r="BE113" i="1"/>
  <c r="AZ113" i="1"/>
  <c r="BA113" i="1" s="1"/>
  <c r="BC116" i="1"/>
  <c r="CC122" i="1"/>
  <c r="BZ122" i="1"/>
  <c r="CA122" i="1" s="1"/>
  <c r="AK125" i="1"/>
  <c r="AE129" i="1"/>
  <c r="BT132" i="1"/>
  <c r="BI133" i="1"/>
  <c r="AP135" i="1"/>
  <c r="O135" i="1"/>
  <c r="N135" i="1" s="1"/>
  <c r="Q135" i="1"/>
  <c r="AM135" i="1" s="1"/>
  <c r="AB135" i="1"/>
  <c r="BU135" i="1"/>
  <c r="BR135" i="1"/>
  <c r="BS135" i="1" s="1"/>
  <c r="O137" i="1"/>
  <c r="R136" i="1"/>
  <c r="R208" i="1"/>
  <c r="R274" i="1" s="1"/>
  <c r="AB137" i="1"/>
  <c r="Q137" i="1"/>
  <c r="CA140" i="1"/>
  <c r="CJ138" i="1"/>
  <c r="CJ136" i="1" s="1"/>
  <c r="CH140" i="1"/>
  <c r="AW143" i="1"/>
  <c r="AB145" i="1"/>
  <c r="AL145" i="1"/>
  <c r="AK144" i="1"/>
  <c r="AL146" i="1"/>
  <c r="AM146" i="1"/>
  <c r="BL149" i="1"/>
  <c r="BM149" i="1" s="1"/>
  <c r="U150" i="1"/>
  <c r="BR150" i="1"/>
  <c r="BS150" i="1" s="1"/>
  <c r="BU150" i="1"/>
  <c r="AL156" i="1"/>
  <c r="BW156" i="1"/>
  <c r="BR156" i="1"/>
  <c r="BS156" i="1" s="1"/>
  <c r="AU160" i="1"/>
  <c r="BM160" i="1"/>
  <c r="AL161" i="1"/>
  <c r="R163" i="1"/>
  <c r="CE166" i="1"/>
  <c r="AT167" i="1"/>
  <c r="AW167" i="1"/>
  <c r="J168" i="1"/>
  <c r="CC167" i="1"/>
  <c r="BZ167" i="1"/>
  <c r="BS171" i="1"/>
  <c r="BR168" i="1"/>
  <c r="U173" i="1"/>
  <c r="BR174" i="1"/>
  <c r="BS174" i="1" s="1"/>
  <c r="H175" i="1"/>
  <c r="J169" i="1"/>
  <c r="BA175" i="1"/>
  <c r="U182" i="1"/>
  <c r="Q189" i="1"/>
  <c r="BU190" i="1"/>
  <c r="BR190" i="1"/>
  <c r="BS190" i="1" s="1"/>
  <c r="BT189" i="1"/>
  <c r="AT196" i="1"/>
  <c r="AU196" i="1" s="1"/>
  <c r="AX195" i="1"/>
  <c r="AX194" i="1" s="1"/>
  <c r="AX193" i="1" s="1"/>
  <c r="BD196" i="1"/>
  <c r="BM199" i="1"/>
  <c r="BG199" i="1"/>
  <c r="AU199" i="1"/>
  <c r="BC204" i="1"/>
  <c r="AZ204" i="1"/>
  <c r="BA204" i="1" s="1"/>
  <c r="BU204" i="1"/>
  <c r="BR204" i="1"/>
  <c r="BS204" i="1" s="1"/>
  <c r="BH274" i="1"/>
  <c r="BR260" i="1"/>
  <c r="BR259" i="1" s="1"/>
  <c r="BT259" i="1"/>
  <c r="BT15" i="1" s="1"/>
  <c r="BR262" i="1"/>
  <c r="AB263" i="1"/>
  <c r="Z263" i="1" s="1"/>
  <c r="Q263" i="1"/>
  <c r="R259" i="1"/>
  <c r="BB263" i="1"/>
  <c r="AZ263" i="1" s="1"/>
  <c r="BA263" i="1" s="1"/>
  <c r="BN75" i="1"/>
  <c r="AK94" i="1"/>
  <c r="AW98" i="1"/>
  <c r="BI98" i="1"/>
  <c r="BB99" i="1"/>
  <c r="M105" i="1"/>
  <c r="K105" i="1" s="1"/>
  <c r="AX107" i="1"/>
  <c r="BD107" i="1"/>
  <c r="BD115" i="1"/>
  <c r="AY119" i="1"/>
  <c r="BK119" i="1"/>
  <c r="AY120" i="1"/>
  <c r="BP120" i="1"/>
  <c r="BL120" i="1" s="1"/>
  <c r="AY121" i="1"/>
  <c r="BK121" i="1"/>
  <c r="Y130" i="1"/>
  <c r="CE130" i="1" s="1"/>
  <c r="T130" i="1"/>
  <c r="CC132" i="1"/>
  <c r="U134" i="1"/>
  <c r="BB135" i="1"/>
  <c r="AK163" i="1"/>
  <c r="AV137" i="1"/>
  <c r="F136" i="1"/>
  <c r="F128" i="1" s="1"/>
  <c r="M136" i="1"/>
  <c r="BV139" i="1"/>
  <c r="CB139" i="1" s="1"/>
  <c r="CC139" i="1" s="1"/>
  <c r="AV138" i="1"/>
  <c r="CC138" i="1"/>
  <c r="AO139" i="1"/>
  <c r="BU139" i="1"/>
  <c r="BR139" i="1"/>
  <c r="BS139" i="1" s="1"/>
  <c r="H140" i="1"/>
  <c r="H138" i="1" s="1"/>
  <c r="AW140" i="1"/>
  <c r="H141" i="1"/>
  <c r="H139" i="1" s="1"/>
  <c r="I139" i="1"/>
  <c r="L276" i="1"/>
  <c r="BT142" i="1"/>
  <c r="O142" i="1"/>
  <c r="K142" i="1"/>
  <c r="L138" i="1"/>
  <c r="BG142" i="1"/>
  <c r="CB276" i="1"/>
  <c r="BZ142" i="1"/>
  <c r="BZ138" i="1" s="1"/>
  <c r="CA138" i="1" s="1"/>
  <c r="Z143" i="1"/>
  <c r="AA143" i="1" s="1"/>
  <c r="AB139" i="1"/>
  <c r="AC139" i="1" s="1"/>
  <c r="AM143" i="1"/>
  <c r="AK139" i="1"/>
  <c r="AD145" i="1"/>
  <c r="BD145" i="1"/>
  <c r="BD144" i="1" s="1"/>
  <c r="Q145" i="1"/>
  <c r="U145" i="1" s="1"/>
  <c r="S144" i="1"/>
  <c r="Q144" i="1" s="1"/>
  <c r="Y145" i="1"/>
  <c r="CE145" i="1" s="1"/>
  <c r="AZ146" i="1"/>
  <c r="BA146" i="1" s="1"/>
  <c r="BO146" i="1"/>
  <c r="W147" i="1"/>
  <c r="K147" i="1"/>
  <c r="AE147" i="1"/>
  <c r="AT148" i="1"/>
  <c r="AV147" i="1"/>
  <c r="BN148" i="1"/>
  <c r="BU148" i="1"/>
  <c r="BR148" i="1"/>
  <c r="BS148" i="1" s="1"/>
  <c r="AU149" i="1"/>
  <c r="BU149" i="1"/>
  <c r="AA150" i="1"/>
  <c r="BE152" i="1"/>
  <c r="AJ152" i="1"/>
  <c r="AJ151" i="1" s="1"/>
  <c r="BL152" i="1"/>
  <c r="BM152" i="1" s="1"/>
  <c r="CE152" i="1"/>
  <c r="AL153" i="1"/>
  <c r="BQ153" i="1"/>
  <c r="BL153" i="1"/>
  <c r="BM153" i="1" s="1"/>
  <c r="Y155" i="1"/>
  <c r="T155" i="1"/>
  <c r="U155" i="1" s="1"/>
  <c r="J157" i="1"/>
  <c r="BO158" i="1"/>
  <c r="R167" i="1"/>
  <c r="AH167" i="1"/>
  <c r="AD167" i="1"/>
  <c r="AD166" i="1" s="1"/>
  <c r="AD206" i="1" s="1"/>
  <c r="AT168" i="1"/>
  <c r="AU168" i="1" s="1"/>
  <c r="L167" i="1"/>
  <c r="K169" i="1"/>
  <c r="AO169" i="1"/>
  <c r="AW169" i="1"/>
  <c r="E168" i="1"/>
  <c r="E167" i="1" s="1"/>
  <c r="H170" i="1"/>
  <c r="AH172" i="1"/>
  <c r="AH169" i="1" s="1"/>
  <c r="AI170" i="1"/>
  <c r="AH170" i="1" s="1"/>
  <c r="BI172" i="1"/>
  <c r="BT172" i="1"/>
  <c r="BF172" i="1"/>
  <c r="BH169" i="1"/>
  <c r="BI169" i="1" s="1"/>
  <c r="BN172" i="1"/>
  <c r="CA174" i="1"/>
  <c r="AL175" i="1"/>
  <c r="AM175" i="1"/>
  <c r="BY176" i="1"/>
  <c r="Q176" i="1"/>
  <c r="U176" i="1" s="1"/>
  <c r="AU177" i="1"/>
  <c r="AZ177" i="1"/>
  <c r="BD176" i="1"/>
  <c r="I179" i="1"/>
  <c r="H179" i="1" s="1"/>
  <c r="AC179" i="1"/>
  <c r="BA181" i="1"/>
  <c r="AZ179" i="1"/>
  <c r="BA179" i="1" s="1"/>
  <c r="BR183" i="1"/>
  <c r="BS183" i="1" s="1"/>
  <c r="BU183" i="1"/>
  <c r="AU184" i="1"/>
  <c r="BG184" i="1"/>
  <c r="AL186" i="1"/>
  <c r="AM186" i="1"/>
  <c r="BC186" i="1"/>
  <c r="BR186" i="1"/>
  <c r="BU186" i="1"/>
  <c r="F188" i="1"/>
  <c r="E188" i="1" s="1"/>
  <c r="E189" i="1"/>
  <c r="H191" i="1"/>
  <c r="J189" i="1"/>
  <c r="J188" i="1" s="1"/>
  <c r="CA191" i="1"/>
  <c r="H192" i="1"/>
  <c r="O193" i="1"/>
  <c r="N193" i="1" s="1"/>
  <c r="AV193" i="1"/>
  <c r="AP193" i="1"/>
  <c r="K193" i="1"/>
  <c r="AM193" i="1" s="1"/>
  <c r="L189" i="1"/>
  <c r="I193" i="1"/>
  <c r="H193" i="1" s="1"/>
  <c r="BT193" i="1"/>
  <c r="BB193" i="1"/>
  <c r="BG196" i="1"/>
  <c r="BC199" i="1"/>
  <c r="AZ199" i="1"/>
  <c r="BA199" i="1" s="1"/>
  <c r="CH203" i="1"/>
  <c r="CH201" i="1" s="1"/>
  <c r="CJ201" i="1"/>
  <c r="AU204" i="1"/>
  <c r="BM204" i="1"/>
  <c r="BF244" i="1"/>
  <c r="BH243" i="1"/>
  <c r="BF243" i="1" s="1"/>
  <c r="AI243" i="1"/>
  <c r="AH245" i="1"/>
  <c r="X264" i="1"/>
  <c r="Q264" i="1"/>
  <c r="AQ264" i="1"/>
  <c r="S259" i="1"/>
  <c r="BB98" i="1"/>
  <c r="AE210" i="1"/>
  <c r="AE277" i="1" s="1"/>
  <c r="BD119" i="1"/>
  <c r="BD121" i="1"/>
  <c r="AB131" i="1"/>
  <c r="W131" i="1"/>
  <c r="Q131" i="1"/>
  <c r="U131" i="1" s="1"/>
  <c r="AA134" i="1"/>
  <c r="Y135" i="1"/>
  <c r="CE135" i="1" s="1"/>
  <c r="BD135" i="1"/>
  <c r="AD135" i="1"/>
  <c r="E136" i="1"/>
  <c r="L208" i="1"/>
  <c r="L274" i="1" s="1"/>
  <c r="I137" i="1"/>
  <c r="L163" i="1"/>
  <c r="BI138" i="1"/>
  <c r="AT138" i="1"/>
  <c r="BG138" i="1" s="1"/>
  <c r="AU140" i="1"/>
  <c r="BN140" i="1"/>
  <c r="BU140" i="1"/>
  <c r="BR140" i="1"/>
  <c r="BS140" i="1" s="1"/>
  <c r="AU141" i="1"/>
  <c r="BO141" i="1"/>
  <c r="BL141" i="1"/>
  <c r="T276" i="1"/>
  <c r="T138" i="1"/>
  <c r="U138" i="1" s="1"/>
  <c r="AB276" i="1"/>
  <c r="AC276" i="1" s="1"/>
  <c r="AC142" i="1"/>
  <c r="Z142" i="1"/>
  <c r="AV276" i="1"/>
  <c r="AW276" i="1" s="1"/>
  <c r="BI142" i="1"/>
  <c r="AW142" i="1"/>
  <c r="AT142" i="1"/>
  <c r="CH276" i="1"/>
  <c r="CF142" i="1"/>
  <c r="CF276" i="1" s="1"/>
  <c r="AO144" i="1"/>
  <c r="AP144" i="1"/>
  <c r="CC145" i="1"/>
  <c r="BZ145" i="1"/>
  <c r="CA145" i="1" s="1"/>
  <c r="BM146" i="1"/>
  <c r="BU146" i="1"/>
  <c r="BR146" i="1"/>
  <c r="BS146" i="1" s="1"/>
  <c r="Y148" i="1"/>
  <c r="T148" i="1"/>
  <c r="X147" i="1"/>
  <c r="Y147" i="1" s="1"/>
  <c r="AO151" i="1"/>
  <c r="AM154" i="1"/>
  <c r="BF154" i="1"/>
  <c r="BG154" i="1" s="1"/>
  <c r="BV154" i="1"/>
  <c r="I157" i="1"/>
  <c r="H158" i="1"/>
  <c r="U159" i="1"/>
  <c r="BU159" i="1"/>
  <c r="BR159" i="1"/>
  <c r="BS159" i="1" s="1"/>
  <c r="BB161" i="1"/>
  <c r="O161" i="1"/>
  <c r="N161" i="1" s="1"/>
  <c r="BT161" i="1"/>
  <c r="K161" i="1"/>
  <c r="AU161" i="1" s="1"/>
  <c r="U161" i="1"/>
  <c r="BH167" i="1"/>
  <c r="W169" i="1"/>
  <c r="AU169" i="1"/>
  <c r="U171" i="1"/>
  <c r="BC171" i="1"/>
  <c r="AZ171" i="1"/>
  <c r="BB170" i="1"/>
  <c r="BC170" i="1" s="1"/>
  <c r="BB168" i="1"/>
  <c r="BC168" i="1" s="1"/>
  <c r="BT168" i="1"/>
  <c r="BU171" i="1"/>
  <c r="N169" i="1"/>
  <c r="AH176" i="1"/>
  <c r="AR176" i="1"/>
  <c r="BL181" i="1"/>
  <c r="BM181" i="1" s="1"/>
  <c r="BN179" i="1"/>
  <c r="AB185" i="1"/>
  <c r="W185" i="1"/>
  <c r="BT185" i="1"/>
  <c r="BU185" i="1" s="1"/>
  <c r="AM187" i="1"/>
  <c r="AL187" i="1"/>
  <c r="AI188" i="1"/>
  <c r="BI190" i="1"/>
  <c r="BF190" i="1"/>
  <c r="BH189" i="1"/>
  <c r="BN190" i="1"/>
  <c r="CA190" i="1"/>
  <c r="BR192" i="1"/>
  <c r="BS192" i="1" s="1"/>
  <c r="BU192" i="1"/>
  <c r="BR196" i="1"/>
  <c r="BS196" i="1" s="1"/>
  <c r="BF203" i="1"/>
  <c r="BG203" i="1" s="1"/>
  <c r="BI203" i="1"/>
  <c r="BT203" i="1"/>
  <c r="BN203" i="1"/>
  <c r="BH201" i="1"/>
  <c r="AK219" i="1"/>
  <c r="BR220" i="1"/>
  <c r="BS220" i="1" s="1"/>
  <c r="BV219" i="1"/>
  <c r="BW220" i="1"/>
  <c r="BM228" i="1"/>
  <c r="BF241" i="1"/>
  <c r="BK241" i="1"/>
  <c r="BJ240" i="1"/>
  <c r="BV241" i="1"/>
  <c r="R132" i="1"/>
  <c r="AO137" i="1"/>
  <c r="AO208" i="1" s="1"/>
  <c r="AO274" i="1" s="1"/>
  <c r="E276" i="1"/>
  <c r="Q276" i="1"/>
  <c r="AE276" i="1"/>
  <c r="BD276" i="1"/>
  <c r="BE276" i="1" s="1"/>
  <c r="BP276" i="1"/>
  <c r="BQ276" i="1" s="1"/>
  <c r="BB149" i="1"/>
  <c r="BB150" i="1"/>
  <c r="BK152" i="1"/>
  <c r="BV152" i="1"/>
  <c r="AY153" i="1"/>
  <c r="BR153" i="1"/>
  <c r="BS153" i="1" s="1"/>
  <c r="AK155" i="1"/>
  <c r="AM155" i="1" s="1"/>
  <c r="BD155" i="1"/>
  <c r="BJ155" i="1"/>
  <c r="BP155" i="1" s="1"/>
  <c r="AZ156" i="1"/>
  <c r="BA156" i="1" s="1"/>
  <c r="W158" i="1"/>
  <c r="AW158" i="1"/>
  <c r="BI158" i="1"/>
  <c r="AW159" i="1"/>
  <c r="BI159" i="1"/>
  <c r="BN159" i="1"/>
  <c r="BN157" i="1" s="1"/>
  <c r="AW161" i="1"/>
  <c r="BI161" i="1"/>
  <c r="I168" i="1"/>
  <c r="I167" i="1" s="1"/>
  <c r="AK169" i="1"/>
  <c r="BD169" i="1"/>
  <c r="BD167" i="1" s="1"/>
  <c r="BI171" i="1"/>
  <c r="BI174" i="1"/>
  <c r="AP176" i="1"/>
  <c r="AW176" i="1"/>
  <c r="AM177" i="1"/>
  <c r="BU178" i="1"/>
  <c r="AO179" i="1"/>
  <c r="AP179" i="1"/>
  <c r="AC180" i="1"/>
  <c r="AM181" i="1"/>
  <c r="AK179" i="1"/>
  <c r="BF181" i="1"/>
  <c r="BG181" i="1" s="1"/>
  <c r="BJ180" i="1"/>
  <c r="BU181" i="1"/>
  <c r="BR181" i="1"/>
  <c r="BS181" i="1" s="1"/>
  <c r="AP182" i="1"/>
  <c r="AU183" i="1"/>
  <c r="BE187" i="1"/>
  <c r="BD185" i="1"/>
  <c r="BE185" i="1" s="1"/>
  <c r="AE188" i="1"/>
  <c r="W189" i="1"/>
  <c r="T189" i="1"/>
  <c r="V188" i="1"/>
  <c r="AD188" i="1"/>
  <c r="BY189" i="1"/>
  <c r="AA192" i="1"/>
  <c r="AC193" i="1"/>
  <c r="Z193" i="1"/>
  <c r="AA193" i="1" s="1"/>
  <c r="BI193" i="1"/>
  <c r="BF193" i="1"/>
  <c r="AT194" i="1"/>
  <c r="BO194" i="1"/>
  <c r="O195" i="1"/>
  <c r="N195" i="1" s="1"/>
  <c r="BT195" i="1"/>
  <c r="AV195" i="1"/>
  <c r="AP195" i="1"/>
  <c r="K195" i="1"/>
  <c r="AM195" i="1" s="1"/>
  <c r="AM199" i="1"/>
  <c r="T201" i="1"/>
  <c r="AW201" i="1"/>
  <c r="AT201" i="1"/>
  <c r="AU201" i="1" s="1"/>
  <c r="AM203" i="1"/>
  <c r="AL203" i="1"/>
  <c r="AX274" i="1"/>
  <c r="AO210" i="1"/>
  <c r="AO277" i="1" s="1"/>
  <c r="CE217" i="1"/>
  <c r="BZ217" i="1"/>
  <c r="K221" i="1"/>
  <c r="BD221" i="1"/>
  <c r="BG222" i="1"/>
  <c r="BM222" i="1"/>
  <c r="AT232" i="1"/>
  <c r="BP232" i="1"/>
  <c r="AX230" i="1"/>
  <c r="AQ232" i="1"/>
  <c r="AK234" i="1"/>
  <c r="AM234" i="1" s="1"/>
  <c r="AP235" i="1"/>
  <c r="Z238" i="1"/>
  <c r="AA238" i="1" s="1"/>
  <c r="BY238" i="1"/>
  <c r="BD239" i="1"/>
  <c r="AD239" i="1"/>
  <c r="P239" i="1"/>
  <c r="N239" i="1" s="1"/>
  <c r="Y239" i="1"/>
  <c r="Q239" i="1"/>
  <c r="S237" i="1"/>
  <c r="AS237" i="1" s="1"/>
  <c r="AZ260" i="1"/>
  <c r="BA260" i="1" s="1"/>
  <c r="AQ266" i="1"/>
  <c r="AR267" i="1"/>
  <c r="BR268" i="1"/>
  <c r="BS268" i="1" s="1"/>
  <c r="BT266" i="1"/>
  <c r="BU268" i="1"/>
  <c r="J276" i="1"/>
  <c r="BT277" i="1"/>
  <c r="BD153" i="1"/>
  <c r="BB158" i="1"/>
  <c r="AN208" i="1"/>
  <c r="BN171" i="1"/>
  <c r="BN174" i="1"/>
  <c r="AL176" i="1"/>
  <c r="AM176" i="1"/>
  <c r="BL176" i="1"/>
  <c r="BM176" i="1" s="1"/>
  <c r="I182" i="1"/>
  <c r="H182" i="1" s="1"/>
  <c r="K182" i="1"/>
  <c r="AU182" i="1" s="1"/>
  <c r="AL182" i="1"/>
  <c r="AM182" i="1"/>
  <c r="AM183" i="1"/>
  <c r="AR189" i="1"/>
  <c r="AQ188" i="1"/>
  <c r="Z190" i="1"/>
  <c r="AA190" i="1" s="1"/>
  <c r="AB189" i="1"/>
  <c r="AM190" i="1"/>
  <c r="AK189" i="1"/>
  <c r="BC194" i="1"/>
  <c r="AZ194" i="1"/>
  <c r="BA194" i="1" s="1"/>
  <c r="BM194" i="1"/>
  <c r="AC195" i="1"/>
  <c r="Z195" i="1"/>
  <c r="AA195" i="1" s="1"/>
  <c r="AM198" i="1"/>
  <c r="BT199" i="1"/>
  <c r="BN199" i="1"/>
  <c r="BO199" i="1" s="1"/>
  <c r="CA203" i="1"/>
  <c r="CA201" i="1" s="1"/>
  <c r="AN204" i="1"/>
  <c r="Q204" i="1"/>
  <c r="R201" i="1"/>
  <c r="O204" i="1"/>
  <c r="BC205" i="1"/>
  <c r="AZ205" i="1"/>
  <c r="BA205" i="1" s="1"/>
  <c r="R277" i="1"/>
  <c r="BT210" i="1"/>
  <c r="BU210" i="1" s="1"/>
  <c r="BW222" i="1"/>
  <c r="BR222" i="1"/>
  <c r="BS222" i="1" s="1"/>
  <c r="BV221" i="1"/>
  <c r="U227" i="1"/>
  <c r="AS229" i="1"/>
  <c r="AK229" i="1"/>
  <c r="AM229" i="1" s="1"/>
  <c r="AQ244" i="1"/>
  <c r="AT243" i="1"/>
  <c r="AU243" i="1" s="1"/>
  <c r="AW266" i="1"/>
  <c r="BB176" i="1"/>
  <c r="BC176" i="1" s="1"/>
  <c r="AW182" i="1"/>
  <c r="BO183" i="1"/>
  <c r="AP185" i="1"/>
  <c r="AU187" i="1"/>
  <c r="BO187" i="1"/>
  <c r="BN191" i="1"/>
  <c r="AK194" i="1"/>
  <c r="AW196" i="1"/>
  <c r="BB196" i="1"/>
  <c r="AV198" i="1"/>
  <c r="BZ201" i="1"/>
  <c r="AU202" i="1"/>
  <c r="W203" i="1"/>
  <c r="BC203" i="1"/>
  <c r="AW204" i="1"/>
  <c r="BG204" i="1"/>
  <c r="AD216" i="1"/>
  <c r="G213" i="1"/>
  <c r="E217" i="1"/>
  <c r="E213" i="1" s="1"/>
  <c r="BE222" i="1"/>
  <c r="P223" i="1"/>
  <c r="N223" i="1" s="1"/>
  <c r="BQ223" i="1"/>
  <c r="AY223" i="1"/>
  <c r="AQ223" i="1"/>
  <c r="BG224" i="1"/>
  <c r="AD229" i="1"/>
  <c r="P229" i="1"/>
  <c r="BD229" i="1"/>
  <c r="BW235" i="1"/>
  <c r="BR235" i="1"/>
  <c r="AK237" i="1"/>
  <c r="AT241" i="1"/>
  <c r="AU241" i="1" s="1"/>
  <c r="AY241" i="1"/>
  <c r="AX215" i="1"/>
  <c r="BP241" i="1"/>
  <c r="BD241" i="1"/>
  <c r="AQ241" i="1"/>
  <c r="AX240" i="1"/>
  <c r="AO245" i="1"/>
  <c r="AU245" i="1"/>
  <c r="BR247" i="1"/>
  <c r="BT245" i="1"/>
  <c r="AZ261" i="1"/>
  <c r="BA261" i="1" s="1"/>
  <c r="CH213" i="1"/>
  <c r="CF217" i="1"/>
  <c r="Y219" i="1"/>
  <c r="T219" i="1"/>
  <c r="P221" i="1"/>
  <c r="N221" i="1" s="1"/>
  <c r="S218" i="1"/>
  <c r="Q221" i="1"/>
  <c r="Q218" i="1" s="1"/>
  <c r="BM221" i="1"/>
  <c r="T222" i="1"/>
  <c r="U222" i="1" s="1"/>
  <c r="X221" i="1"/>
  <c r="BM224" i="1"/>
  <c r="P227" i="1"/>
  <c r="U229" i="1"/>
  <c r="BV230" i="1"/>
  <c r="BR231" i="1"/>
  <c r="BS231" i="1" s="1"/>
  <c r="BW231" i="1"/>
  <c r="AD232" i="1"/>
  <c r="S230" i="1"/>
  <c r="S226" i="1" s="1"/>
  <c r="BD232" i="1"/>
  <c r="P232" i="1"/>
  <c r="N232" i="1" s="1"/>
  <c r="T234" i="1"/>
  <c r="X233" i="1"/>
  <c r="AD233" i="1" s="1"/>
  <c r="AD234" i="1"/>
  <c r="BG235" i="1"/>
  <c r="BY240" i="1"/>
  <c r="N243" i="1"/>
  <c r="AE243" i="1"/>
  <c r="CH244" i="1"/>
  <c r="CF245" i="1"/>
  <c r="CF244" i="1" s="1"/>
  <c r="AM247" i="1"/>
  <c r="AK245" i="1"/>
  <c r="E266" i="1"/>
  <c r="N267" i="1"/>
  <c r="BB268" i="1"/>
  <c r="R268" i="1"/>
  <c r="I268" i="1"/>
  <c r="K268" i="1"/>
  <c r="BT269" i="1"/>
  <c r="BF269" i="1"/>
  <c r="BG269" i="1" s="1"/>
  <c r="BN269" i="1"/>
  <c r="BL269" i="1" s="1"/>
  <c r="BM269" i="1" s="1"/>
  <c r="BB202" i="1"/>
  <c r="S274" i="1"/>
  <c r="K227" i="1"/>
  <c r="Y227" i="1"/>
  <c r="BQ227" i="1"/>
  <c r="BJ230" i="1"/>
  <c r="K230" i="1"/>
  <c r="BK232" i="1"/>
  <c r="Q233" i="1"/>
  <c r="AT237" i="1"/>
  <c r="AU237" i="1" s="1"/>
  <c r="AY244" i="1"/>
  <c r="Z245" i="1"/>
  <c r="Z244" i="1" s="1"/>
  <c r="AD244" i="1"/>
  <c r="AD243" i="1" s="1"/>
  <c r="BL245" i="1"/>
  <c r="AZ267" i="1"/>
  <c r="BB266" i="1"/>
  <c r="BQ267" i="1"/>
  <c r="BF268" i="1"/>
  <c r="BG268" i="1" s="1"/>
  <c r="BI268" i="1"/>
  <c r="BH266" i="1"/>
  <c r="H269" i="1"/>
  <c r="K269" i="1" s="1"/>
  <c r="AM269" i="1" s="1"/>
  <c r="T269" i="1"/>
  <c r="U269" i="1" s="1"/>
  <c r="L277" i="1"/>
  <c r="BJ228" i="1"/>
  <c r="BD228" i="1"/>
  <c r="Y228" i="1"/>
  <c r="Q228" i="1"/>
  <c r="U228" i="1" s="1"/>
  <c r="AS228" i="1"/>
  <c r="AK228" i="1"/>
  <c r="U231" i="1"/>
  <c r="AT234" i="1"/>
  <c r="AU234" i="1" s="1"/>
  <c r="AX233" i="1"/>
  <c r="BF234" i="1"/>
  <c r="BJ233" i="1"/>
  <c r="BV234" i="1"/>
  <c r="BF237" i="1"/>
  <c r="BW238" i="1"/>
  <c r="BR238" i="1"/>
  <c r="BS238" i="1" s="1"/>
  <c r="AS239" i="1"/>
  <c r="AK239" i="1"/>
  <c r="AM239" i="1" s="1"/>
  <c r="BW239" i="1"/>
  <c r="BR239" i="1"/>
  <c r="BS239" i="1" s="1"/>
  <c r="Y240" i="1"/>
  <c r="T240" i="1"/>
  <c r="Z241" i="1"/>
  <c r="Z243" i="1"/>
  <c r="AA243" i="1" s="1"/>
  <c r="AW244" i="1"/>
  <c r="AR245" i="1"/>
  <c r="AS245" i="1"/>
  <c r="BD244" i="1"/>
  <c r="AZ247" i="1"/>
  <c r="BD245" i="1"/>
  <c r="AB259" i="1"/>
  <c r="BV262" i="1"/>
  <c r="P262" i="1"/>
  <c r="N262" i="1" s="1"/>
  <c r="X262" i="1"/>
  <c r="Q262" i="1"/>
  <c r="BD262" i="1"/>
  <c r="BF262" i="1"/>
  <c r="BG262" i="1" s="1"/>
  <c r="BK262" i="1"/>
  <c r="CE266" i="1"/>
  <c r="BZ266" i="1"/>
  <c r="CA266" i="1" s="1"/>
  <c r="K266" i="1"/>
  <c r="AH266" i="1"/>
  <c r="CA268" i="1"/>
  <c r="BD231" i="1"/>
  <c r="Y235" i="1"/>
  <c r="AK235" i="1"/>
  <c r="AY235" i="1"/>
  <c r="BK235" i="1"/>
  <c r="AN243" i="1"/>
  <c r="AO243" i="1" s="1"/>
  <c r="AU248" i="1"/>
  <c r="BD260" i="1"/>
  <c r="AY260" i="1"/>
  <c r="AT260" i="1"/>
  <c r="AU260" i="1" s="1"/>
  <c r="BV261" i="1"/>
  <c r="BR261" i="1" s="1"/>
  <c r="BD261" i="1"/>
  <c r="Q261" i="1"/>
  <c r="U261" i="1" s="1"/>
  <c r="AD261" i="1"/>
  <c r="BY261" i="1" s="1"/>
  <c r="AY261" i="1"/>
  <c r="AT261" i="1"/>
  <c r="BK261" i="1"/>
  <c r="BF261" i="1"/>
  <c r="BG261" i="1" s="1"/>
  <c r="AM262" i="1"/>
  <c r="BM262" i="1"/>
  <c r="BO263" i="1"/>
  <c r="AA264" i="1"/>
  <c r="X266" i="1"/>
  <c r="Y266" i="1" s="1"/>
  <c r="H267" i="1"/>
  <c r="Y267" i="1"/>
  <c r="BU267" i="1"/>
  <c r="BR267" i="1"/>
  <c r="AO268" i="1"/>
  <c r="AK268" i="1"/>
  <c r="AP268" i="1"/>
  <c r="BN268" i="1"/>
  <c r="AW268" i="1"/>
  <c r="V268" i="1"/>
  <c r="AT268" i="1"/>
  <c r="AD269" i="1"/>
  <c r="BY269" i="1" s="1"/>
  <c r="AB269" i="1"/>
  <c r="Z269" i="1" s="1"/>
  <c r="AA269" i="1" s="1"/>
  <c r="AL269" i="1"/>
  <c r="BD269" i="1"/>
  <c r="AR276" i="1"/>
  <c r="AS276" i="1"/>
  <c r="BD235" i="1"/>
  <c r="AL260" i="1"/>
  <c r="AC261" i="1"/>
  <c r="Z261" i="1"/>
  <c r="AA261" i="1" s="1"/>
  <c r="BM263" i="1"/>
  <c r="BI267" i="1"/>
  <c r="AT267" i="1"/>
  <c r="AN267" i="1"/>
  <c r="V267" i="1"/>
  <c r="BN267" i="1"/>
  <c r="J268" i="1"/>
  <c r="J266" i="1" s="1"/>
  <c r="E268" i="1"/>
  <c r="AU269" i="1"/>
  <c r="BP269" i="1"/>
  <c r="BQ269" i="1" s="1"/>
  <c r="BK269" i="1"/>
  <c r="BV269" i="1"/>
  <c r="BV266" i="1" s="1"/>
  <c r="BV16" i="1" s="1"/>
  <c r="BW16" i="1" s="1"/>
  <c r="BJ266" i="1"/>
  <c r="BK268" i="1"/>
  <c r="BI276" i="1"/>
  <c r="Y274" i="1" l="1"/>
  <c r="AA241" i="1"/>
  <c r="BG229" i="1"/>
  <c r="U240" i="1"/>
  <c r="AZ237" i="1"/>
  <c r="BA237" i="1" s="1"/>
  <c r="AY274" i="1"/>
  <c r="BD218" i="1"/>
  <c r="BE218" i="1" s="1"/>
  <c r="BS237" i="1"/>
  <c r="BE223" i="1"/>
  <c r="N241" i="1"/>
  <c r="N215" i="1" s="1"/>
  <c r="K215" i="1"/>
  <c r="T224" i="1"/>
  <c r="U224" i="1" s="1"/>
  <c r="BA224" i="1"/>
  <c r="BY219" i="1"/>
  <c r="BS224" i="1"/>
  <c r="Z235" i="1"/>
  <c r="AA235" i="1" s="1"/>
  <c r="Q216" i="1"/>
  <c r="AM235" i="1"/>
  <c r="AQ218" i="1"/>
  <c r="AK218" i="1" s="1"/>
  <c r="AM218" i="1" s="1"/>
  <c r="BY222" i="1"/>
  <c r="BD233" i="1"/>
  <c r="AA240" i="1"/>
  <c r="K214" i="1"/>
  <c r="K217" i="1" s="1"/>
  <c r="M217" i="1"/>
  <c r="AY11" i="1"/>
  <c r="BG234" i="1"/>
  <c r="AZ234" i="1"/>
  <c r="BA234" i="1" s="1"/>
  <c r="H244" i="1"/>
  <c r="AM228" i="1"/>
  <c r="BE227" i="1"/>
  <c r="K274" i="1"/>
  <c r="BJ216" i="1"/>
  <c r="BJ274" i="1" s="1"/>
  <c r="BK274" i="1" s="1"/>
  <c r="U216" i="1"/>
  <c r="BF219" i="1"/>
  <c r="BG219" i="1" s="1"/>
  <c r="AS231" i="1"/>
  <c r="AK231" i="1"/>
  <c r="AM231" i="1" s="1"/>
  <c r="AU223" i="1"/>
  <c r="AY14" i="1"/>
  <c r="O217" i="1"/>
  <c r="O213" i="1"/>
  <c r="U239" i="1"/>
  <c r="BG223" i="1"/>
  <c r="X226" i="1"/>
  <c r="T226" i="1" s="1"/>
  <c r="BW224" i="1"/>
  <c r="BL234" i="1"/>
  <c r="BM234" i="1" s="1"/>
  <c r="X215" i="1"/>
  <c r="AD215" i="1" s="1"/>
  <c r="BP215" i="1"/>
  <c r="BQ215" i="1" s="1"/>
  <c r="BY224" i="1"/>
  <c r="AT215" i="1"/>
  <c r="AA228" i="1"/>
  <c r="P215" i="1"/>
  <c r="BW216" i="1"/>
  <c r="BV14" i="1"/>
  <c r="BV223" i="1"/>
  <c r="BW223" i="1" s="1"/>
  <c r="BP233" i="1"/>
  <c r="BQ233" i="1" s="1"/>
  <c r="AY237" i="1"/>
  <c r="Y224" i="1"/>
  <c r="X223" i="1"/>
  <c r="X218" i="1" s="1"/>
  <c r="AD218" i="1" s="1"/>
  <c r="AQ215" i="1"/>
  <c r="AK215" i="1" s="1"/>
  <c r="K218" i="1"/>
  <c r="BA223" i="1"/>
  <c r="AB158" i="1"/>
  <c r="T158" i="1"/>
  <c r="BG158" i="1"/>
  <c r="BM158" i="1"/>
  <c r="AA151" i="1"/>
  <c r="AY151" i="1"/>
  <c r="AM151" i="1"/>
  <c r="CD277" i="1"/>
  <c r="N151" i="1"/>
  <c r="P162" i="1"/>
  <c r="P164" i="1" s="1"/>
  <c r="AL152" i="1"/>
  <c r="AL151" i="1" s="1"/>
  <c r="AM152" i="1"/>
  <c r="BL154" i="1"/>
  <c r="BM154" i="1" s="1"/>
  <c r="K210" i="1"/>
  <c r="K277" i="1" s="1"/>
  <c r="BG153" i="1"/>
  <c r="AG162" i="1"/>
  <c r="AR152" i="1"/>
  <c r="AR151" i="1" s="1"/>
  <c r="M210" i="1"/>
  <c r="M13" i="1" s="1"/>
  <c r="AU151" i="1"/>
  <c r="BZ151" i="1"/>
  <c r="CA151" i="1" s="1"/>
  <c r="CD210" i="1"/>
  <c r="AS151" i="1"/>
  <c r="H147" i="1"/>
  <c r="AG7" i="1"/>
  <c r="AQ147" i="1"/>
  <c r="AR147" i="1" s="1"/>
  <c r="J128" i="1"/>
  <c r="J162" i="1" s="1"/>
  <c r="J164" i="1" s="1"/>
  <c r="S128" i="1"/>
  <c r="S162" i="1" s="1"/>
  <c r="S164" i="1" s="1"/>
  <c r="U144" i="1"/>
  <c r="AE128" i="1"/>
  <c r="AF162" i="1"/>
  <c r="AF164" i="1" s="1"/>
  <c r="W136" i="1"/>
  <c r="CB136" i="1"/>
  <c r="BV137" i="1"/>
  <c r="BV208" i="1" s="1"/>
  <c r="BV274" i="1" s="1"/>
  <c r="BW274" i="1" s="1"/>
  <c r="AZ142" i="1"/>
  <c r="H276" i="1"/>
  <c r="BR141" i="1"/>
  <c r="BS141" i="1" s="1"/>
  <c r="I276" i="1"/>
  <c r="H129" i="1"/>
  <c r="G207" i="1"/>
  <c r="G209" i="1" s="1"/>
  <c r="BL135" i="1"/>
  <c r="BM135" i="1" s="1"/>
  <c r="X105" i="1"/>
  <c r="N107" i="1"/>
  <c r="Y110" i="1"/>
  <c r="BM119" i="1"/>
  <c r="BG118" i="1"/>
  <c r="AU116" i="1"/>
  <c r="BD116" i="1"/>
  <c r="BE116" i="1" s="1"/>
  <c r="AY116" i="1"/>
  <c r="BM118" i="1"/>
  <c r="BV117" i="1"/>
  <c r="BF117" i="1"/>
  <c r="BJ116" i="1" s="1"/>
  <c r="T110" i="1"/>
  <c r="U110" i="1" s="1"/>
  <c r="J104" i="1"/>
  <c r="J210" i="1" s="1"/>
  <c r="J277" i="1" s="1"/>
  <c r="BE118" i="1"/>
  <c r="AZ118" i="1"/>
  <c r="BA118" i="1" s="1"/>
  <c r="K111" i="1"/>
  <c r="P111" i="1"/>
  <c r="N111" i="1" s="1"/>
  <c r="BQ115" i="1"/>
  <c r="BL115" i="1"/>
  <c r="BM115" i="1" s="1"/>
  <c r="BP117" i="1"/>
  <c r="BL117" i="1" s="1"/>
  <c r="BG121" i="1"/>
  <c r="AM110" i="1"/>
  <c r="BM121" i="1"/>
  <c r="BL112" i="1"/>
  <c r="BM112" i="1" s="1"/>
  <c r="BQ112" i="1"/>
  <c r="BG119" i="1"/>
  <c r="BM98" i="1"/>
  <c r="BL93" i="1"/>
  <c r="BM93" i="1" s="1"/>
  <c r="BM96" i="1"/>
  <c r="U90" i="1"/>
  <c r="W82" i="1"/>
  <c r="BG70" i="1"/>
  <c r="BN65" i="1"/>
  <c r="BN63" i="1" s="1"/>
  <c r="BS65" i="1"/>
  <c r="O58" i="1"/>
  <c r="N58" i="1" s="1"/>
  <c r="N57" i="1" s="1"/>
  <c r="K58" i="1"/>
  <c r="AZ61" i="1"/>
  <c r="BA61" i="1" s="1"/>
  <c r="Z60" i="1"/>
  <c r="AA60" i="1" s="1"/>
  <c r="AL61" i="1"/>
  <c r="AW58" i="1"/>
  <c r="AW57" i="1"/>
  <c r="U58" i="1"/>
  <c r="BT58" i="1"/>
  <c r="AB58" i="1"/>
  <c r="Z58" i="1" s="1"/>
  <c r="M54" i="1"/>
  <c r="T51" i="1"/>
  <c r="U51" i="1" s="1"/>
  <c r="AV50" i="1"/>
  <c r="AB51" i="1"/>
  <c r="Z51" i="1" s="1"/>
  <c r="AA51" i="1" s="1"/>
  <c r="BA56" i="1"/>
  <c r="CA56" i="1"/>
  <c r="AT42" i="1"/>
  <c r="BG47" i="1"/>
  <c r="T25" i="1"/>
  <c r="U25" i="1" s="1"/>
  <c r="AB48" i="1"/>
  <c r="V42" i="1"/>
  <c r="V25" i="1"/>
  <c r="W25" i="1" s="1"/>
  <c r="AU38" i="1"/>
  <c r="BO36" i="1"/>
  <c r="AC28" i="1"/>
  <c r="CA61" i="1"/>
  <c r="CC49" i="1"/>
  <c r="BG101" i="1"/>
  <c r="AB84" i="1"/>
  <c r="AC58" i="1"/>
  <c r="BI71" i="1"/>
  <c r="BG64" i="1"/>
  <c r="BG98" i="1"/>
  <c r="AW100" i="1"/>
  <c r="AT100" i="1"/>
  <c r="BO100" i="1"/>
  <c r="BB100" i="1"/>
  <c r="AC93" i="1"/>
  <c r="Q89" i="1"/>
  <c r="Q82" i="1" s="1"/>
  <c r="AM82" i="1" s="1"/>
  <c r="U86" i="1"/>
  <c r="BB65" i="1"/>
  <c r="AZ65" i="1" s="1"/>
  <c r="BA65" i="1" s="1"/>
  <c r="AT65" i="1"/>
  <c r="AU65" i="1" s="1"/>
  <c r="BD31" i="1"/>
  <c r="BD25" i="1" s="1"/>
  <c r="BE25" i="1" s="1"/>
  <c r="Z64" i="1"/>
  <c r="AA64" i="1" s="1"/>
  <c r="W84" i="1"/>
  <c r="BO99" i="1"/>
  <c r="BL99" i="1"/>
  <c r="BM99" i="1" s="1"/>
  <c r="BG100" i="1"/>
  <c r="AU96" i="1"/>
  <c r="BG96" i="1"/>
  <c r="AL32" i="1"/>
  <c r="U28" i="1"/>
  <c r="BT57" i="1"/>
  <c r="BU57" i="1" s="1"/>
  <c r="BC91" i="1"/>
  <c r="AZ91" i="1"/>
  <c r="BA91" i="1" s="1"/>
  <c r="AW42" i="1"/>
  <c r="AV41" i="1"/>
  <c r="AW41" i="1" s="1"/>
  <c r="AU76" i="1"/>
  <c r="AV63" i="1"/>
  <c r="BI63" i="1" s="1"/>
  <c r="BR61" i="1"/>
  <c r="BS61" i="1" s="1"/>
  <c r="O57" i="1"/>
  <c r="CA38" i="1"/>
  <c r="AO56" i="1"/>
  <c r="AP56" i="1"/>
  <c r="AN25" i="1"/>
  <c r="I58" i="1"/>
  <c r="BC141" i="1"/>
  <c r="AZ141" i="1"/>
  <c r="BA141" i="1" s="1"/>
  <c r="Y136" i="1"/>
  <c r="CE136" i="1" s="1"/>
  <c r="U135" i="1"/>
  <c r="AR148" i="1"/>
  <c r="CE122" i="1"/>
  <c r="AH122" i="1"/>
  <c r="AL122" i="1" s="1"/>
  <c r="Y139" i="1"/>
  <c r="CE139" i="1" s="1"/>
  <c r="Y144" i="1"/>
  <c r="CE144" i="1" s="1"/>
  <c r="BL157" i="1"/>
  <c r="BM157" i="1" s="1"/>
  <c r="BO157" i="1"/>
  <c r="BL155" i="1"/>
  <c r="BM155" i="1" s="1"/>
  <c r="BQ155" i="1"/>
  <c r="AE126" i="1"/>
  <c r="BC145" i="1"/>
  <c r="AZ145" i="1"/>
  <c r="BB144" i="1"/>
  <c r="BC144" i="1" s="1"/>
  <c r="BC78" i="1"/>
  <c r="AZ78" i="1"/>
  <c r="BA78" i="1" s="1"/>
  <c r="AU267" i="1"/>
  <c r="AT266" i="1"/>
  <c r="AU266" i="1" s="1"/>
  <c r="BG267" i="1"/>
  <c r="BE228" i="1"/>
  <c r="BD215" i="1"/>
  <c r="AZ228" i="1"/>
  <c r="BA228" i="1" s="1"/>
  <c r="H268" i="1"/>
  <c r="H266" i="1" s="1"/>
  <c r="BR245" i="1"/>
  <c r="BR244" i="1" s="1"/>
  <c r="BR243" i="1" s="1"/>
  <c r="BT244" i="1"/>
  <c r="BT243" i="1" s="1"/>
  <c r="CA243" i="1" s="1"/>
  <c r="AT240" i="1"/>
  <c r="AU240" i="1" s="1"/>
  <c r="AQ240" i="1"/>
  <c r="AY240" i="1"/>
  <c r="BD240" i="1"/>
  <c r="N229" i="1"/>
  <c r="N216" i="1" s="1"/>
  <c r="P216" i="1"/>
  <c r="BL191" i="1"/>
  <c r="BO191" i="1"/>
  <c r="O201" i="1"/>
  <c r="N201" i="1" s="1"/>
  <c r="Q201" i="1"/>
  <c r="BB157" i="1"/>
  <c r="BC157" i="1" s="1"/>
  <c r="BC158" i="1"/>
  <c r="AZ158" i="1"/>
  <c r="AU232" i="1"/>
  <c r="AT216" i="1"/>
  <c r="AU216" i="1" s="1"/>
  <c r="W201" i="1"/>
  <c r="AM169" i="1"/>
  <c r="AL169" i="1"/>
  <c r="BF240" i="1"/>
  <c r="BK240" i="1"/>
  <c r="BI201" i="1"/>
  <c r="BF201" i="1"/>
  <c r="BG201" i="1" s="1"/>
  <c r="BE121" i="1"/>
  <c r="AZ121" i="1"/>
  <c r="BA121" i="1" s="1"/>
  <c r="O276" i="1"/>
  <c r="N142" i="1"/>
  <c r="N276" i="1" s="1"/>
  <c r="CB137" i="1"/>
  <c r="BV136" i="1"/>
  <c r="CC136" i="1" s="1"/>
  <c r="BV163" i="1"/>
  <c r="BV11" i="1" s="1"/>
  <c r="BW11" i="1" s="1"/>
  <c r="AZ115" i="1"/>
  <c r="BA115" i="1" s="1"/>
  <c r="BE115" i="1"/>
  <c r="BC99" i="1"/>
  <c r="AZ99" i="1"/>
  <c r="BA99" i="1" s="1"/>
  <c r="BO75" i="1"/>
  <c r="BN74" i="1"/>
  <c r="BL75" i="1"/>
  <c r="BM75" i="1" s="1"/>
  <c r="BF14" i="1"/>
  <c r="BG14" i="1" s="1"/>
  <c r="AM145" i="1"/>
  <c r="Q208" i="1"/>
  <c r="Q274" i="1" s="1"/>
  <c r="Q163" i="1"/>
  <c r="AM163" i="1" s="1"/>
  <c r="O208" i="1"/>
  <c r="O274" i="1" s="1"/>
  <c r="O163" i="1"/>
  <c r="O11" i="1" s="1"/>
  <c r="N137" i="1"/>
  <c r="BU132" i="1"/>
  <c r="BR132" i="1"/>
  <c r="BS132" i="1" s="1"/>
  <c r="AZ109" i="1"/>
  <c r="BA109" i="1" s="1"/>
  <c r="BE109" i="1"/>
  <c r="I124" i="1"/>
  <c r="H20" i="1"/>
  <c r="AO167" i="1"/>
  <c r="AK167" i="1"/>
  <c r="AP167" i="1"/>
  <c r="AY111" i="1"/>
  <c r="BP111" i="1"/>
  <c r="BR84" i="1"/>
  <c r="BC71" i="1"/>
  <c r="AZ71" i="1"/>
  <c r="BA71" i="1" s="1"/>
  <c r="BC48" i="1"/>
  <c r="AZ48" i="1"/>
  <c r="BA48" i="1" s="1"/>
  <c r="AS221" i="1"/>
  <c r="AK221" i="1"/>
  <c r="AM221" i="1" s="1"/>
  <c r="BF274" i="1"/>
  <c r="AU84" i="1"/>
  <c r="AC78" i="1"/>
  <c r="Z78" i="1"/>
  <c r="AA78" i="1" s="1"/>
  <c r="N65" i="1"/>
  <c r="N63" i="1" s="1"/>
  <c r="O63" i="1"/>
  <c r="BL58" i="1"/>
  <c r="BN57" i="1"/>
  <c r="BO57" i="1" s="1"/>
  <c r="BO58" i="1"/>
  <c r="H37" i="1"/>
  <c r="I25" i="1"/>
  <c r="H25" i="1" s="1"/>
  <c r="AP230" i="1"/>
  <c r="BO48" i="1"/>
  <c r="BL48" i="1"/>
  <c r="BM48" i="1" s="1"/>
  <c r="AL130" i="1"/>
  <c r="P116" i="1"/>
  <c r="N116" i="1" s="1"/>
  <c r="Q116" i="1"/>
  <c r="AM116" i="1" s="1"/>
  <c r="N70" i="1"/>
  <c r="O68" i="1"/>
  <c r="N68" i="1" s="1"/>
  <c r="BK129" i="1"/>
  <c r="BJ128" i="1"/>
  <c r="CH277" i="1"/>
  <c r="CH210" i="1"/>
  <c r="CH124" i="1"/>
  <c r="AT58" i="1"/>
  <c r="N54" i="1"/>
  <c r="O24" i="1"/>
  <c r="N24" i="1" s="1"/>
  <c r="O50" i="1"/>
  <c r="F166" i="1"/>
  <c r="F206" i="1" s="1"/>
  <c r="BU131" i="1"/>
  <c r="BR131" i="1"/>
  <c r="BS131" i="1" s="1"/>
  <c r="BR71" i="1"/>
  <c r="BS71" i="1" s="1"/>
  <c r="BU71" i="1"/>
  <c r="CA71" i="1"/>
  <c r="BT68" i="1"/>
  <c r="AZ92" i="1"/>
  <c r="BC92" i="1"/>
  <c r="AL85" i="1"/>
  <c r="AK84" i="1"/>
  <c r="AM85" i="1"/>
  <c r="M51" i="1"/>
  <c r="K51" i="1" s="1"/>
  <c r="AU51" i="1" s="1"/>
  <c r="K53" i="1"/>
  <c r="AU53" i="1" s="1"/>
  <c r="BR25" i="1"/>
  <c r="BS25" i="1" s="1"/>
  <c r="BW108" i="1"/>
  <c r="BR108" i="1"/>
  <c r="BS108" i="1" s="1"/>
  <c r="BL56" i="1"/>
  <c r="BM56" i="1" s="1"/>
  <c r="BO56" i="1"/>
  <c r="AM42" i="1"/>
  <c r="AL42" i="1"/>
  <c r="AK41" i="1"/>
  <c r="BH32" i="1"/>
  <c r="AV35" i="1"/>
  <c r="BZ25" i="1"/>
  <c r="CA25" i="1" s="1"/>
  <c r="CC25" i="1"/>
  <c r="BC28" i="1"/>
  <c r="F126" i="1"/>
  <c r="E126" i="1" s="1"/>
  <c r="BN266" i="1"/>
  <c r="BL267" i="1"/>
  <c r="BO267" i="1"/>
  <c r="BO268" i="1"/>
  <c r="BL268" i="1"/>
  <c r="BM268" i="1" s="1"/>
  <c r="I266" i="1"/>
  <c r="BA267" i="1"/>
  <c r="AB268" i="1"/>
  <c r="O268" i="1"/>
  <c r="R266" i="1"/>
  <c r="Q268" i="1"/>
  <c r="BY234" i="1"/>
  <c r="Z234" i="1"/>
  <c r="AA234" i="1" s="1"/>
  <c r="Z229" i="1"/>
  <c r="AA229" i="1" s="1"/>
  <c r="BY229" i="1"/>
  <c r="AS244" i="1"/>
  <c r="AJ244" i="1"/>
  <c r="AH244" i="1" s="1"/>
  <c r="AQ243" i="1"/>
  <c r="AK244" i="1"/>
  <c r="BU199" i="1"/>
  <c r="BR199" i="1"/>
  <c r="BS199" i="1" s="1"/>
  <c r="AR188" i="1"/>
  <c r="AQ166" i="1"/>
  <c r="AD237" i="1"/>
  <c r="Q237" i="1"/>
  <c r="AM237" i="1" s="1"/>
  <c r="P237" i="1"/>
  <c r="S236" i="1"/>
  <c r="AS232" i="1"/>
  <c r="AK232" i="1"/>
  <c r="AM232" i="1" s="1"/>
  <c r="AQ216" i="1"/>
  <c r="BZ213" i="1"/>
  <c r="CA213" i="1" s="1"/>
  <c r="CA217" i="1"/>
  <c r="BN195" i="1"/>
  <c r="BI195" i="1"/>
  <c r="AT195" i="1"/>
  <c r="AW195" i="1"/>
  <c r="AZ155" i="1"/>
  <c r="AZ151" i="1" s="1"/>
  <c r="BE155" i="1"/>
  <c r="BR219" i="1"/>
  <c r="BS219" i="1" s="1"/>
  <c r="BW219" i="1"/>
  <c r="BL203" i="1"/>
  <c r="BM203" i="1" s="1"/>
  <c r="BO203" i="1"/>
  <c r="BC161" i="1"/>
  <c r="AZ161" i="1"/>
  <c r="BA161" i="1" s="1"/>
  <c r="AD129" i="1"/>
  <c r="BY135" i="1"/>
  <c r="BE119" i="1"/>
  <c r="AZ119" i="1"/>
  <c r="BA119" i="1" s="1"/>
  <c r="BC193" i="1"/>
  <c r="BL148" i="1"/>
  <c r="BO148" i="1"/>
  <c r="AM137" i="1"/>
  <c r="BD104" i="1"/>
  <c r="BD105" i="1"/>
  <c r="BE105" i="1" s="1"/>
  <c r="AZ107" i="1"/>
  <c r="BE107" i="1"/>
  <c r="R188" i="1"/>
  <c r="BS168" i="1"/>
  <c r="AA106" i="1"/>
  <c r="AA105" i="1" s="1"/>
  <c r="U89" i="1"/>
  <c r="AL57" i="1"/>
  <c r="AM57" i="1"/>
  <c r="BH41" i="1"/>
  <c r="BI42" i="1"/>
  <c r="BT42" i="1"/>
  <c r="BF42" i="1"/>
  <c r="BG42" i="1" s="1"/>
  <c r="BU182" i="1"/>
  <c r="BR182" i="1"/>
  <c r="BS182" i="1" s="1"/>
  <c r="BU173" i="1"/>
  <c r="CA173" i="1"/>
  <c r="AT111" i="1"/>
  <c r="AU112" i="1"/>
  <c r="X112" i="1"/>
  <c r="AA203" i="1"/>
  <c r="Z201" i="1"/>
  <c r="AA201" i="1" s="1"/>
  <c r="T151" i="1"/>
  <c r="U152" i="1"/>
  <c r="U151" i="1" s="1"/>
  <c r="BA142" i="1"/>
  <c r="AM112" i="1"/>
  <c r="AM111" i="1" s="1"/>
  <c r="AK111" i="1"/>
  <c r="CF94" i="1"/>
  <c r="CH82" i="1"/>
  <c r="H65" i="1"/>
  <c r="I63" i="1"/>
  <c r="H63" i="1" s="1"/>
  <c r="AH54" i="1"/>
  <c r="AI24" i="1"/>
  <c r="AH24" i="1" s="1"/>
  <c r="AN54" i="1"/>
  <c r="AI53" i="1"/>
  <c r="BR145" i="1"/>
  <c r="BS145" i="1" s="1"/>
  <c r="BU145" i="1"/>
  <c r="BF84" i="1"/>
  <c r="BC64" i="1"/>
  <c r="AZ64" i="1"/>
  <c r="BA64" i="1" s="1"/>
  <c r="BB63" i="1"/>
  <c r="BO34" i="1"/>
  <c r="BL34" i="1"/>
  <c r="BM34" i="1" s="1"/>
  <c r="AL172" i="1"/>
  <c r="AA141" i="1"/>
  <c r="Z139" i="1"/>
  <c r="AA139" i="1" s="1"/>
  <c r="T208" i="1"/>
  <c r="T163" i="1"/>
  <c r="U137" i="1"/>
  <c r="T136" i="1"/>
  <c r="Y122" i="1"/>
  <c r="T122" i="1"/>
  <c r="U122" i="1" s="1"/>
  <c r="X82" i="1"/>
  <c r="X20" i="1" s="1"/>
  <c r="X22" i="1"/>
  <c r="Y22" i="1" s="1"/>
  <c r="CA73" i="1"/>
  <c r="BU54" i="1"/>
  <c r="BR54" i="1"/>
  <c r="AT41" i="1"/>
  <c r="AU41" i="1" s="1"/>
  <c r="AU42" i="1"/>
  <c r="AL173" i="1"/>
  <c r="AM173" i="1"/>
  <c r="AL138" i="1"/>
  <c r="AM138" i="1"/>
  <c r="H42" i="1"/>
  <c r="I41" i="1"/>
  <c r="H41" i="1" s="1"/>
  <c r="O32" i="1"/>
  <c r="O31" i="1" s="1"/>
  <c r="N31" i="1" s="1"/>
  <c r="CF148" i="1"/>
  <c r="CH147" i="1"/>
  <c r="AW90" i="1"/>
  <c r="BB90" i="1"/>
  <c r="AV89" i="1"/>
  <c r="AT90" i="1"/>
  <c r="AU92" i="1"/>
  <c r="BG28" i="1"/>
  <c r="BQ113" i="1"/>
  <c r="BL113" i="1"/>
  <c r="BM113" i="1" s="1"/>
  <c r="AA172" i="1"/>
  <c r="Z169" i="1"/>
  <c r="AA169" i="1" s="1"/>
  <c r="BR100" i="1"/>
  <c r="BS100" i="1" s="1"/>
  <c r="BU100" i="1"/>
  <c r="BI68" i="1"/>
  <c r="BF68" i="1"/>
  <c r="AC51" i="1"/>
  <c r="BY45" i="1"/>
  <c r="AD43" i="1"/>
  <c r="AT37" i="1"/>
  <c r="AV25" i="1"/>
  <c r="AW25" i="1" s="1"/>
  <c r="BN37" i="1"/>
  <c r="AW37" i="1"/>
  <c r="CC26" i="1"/>
  <c r="CB20" i="1"/>
  <c r="BL38" i="1"/>
  <c r="BM38" i="1" s="1"/>
  <c r="BO38" i="1"/>
  <c r="BK266" i="1"/>
  <c r="BJ16" i="1"/>
  <c r="BK16" i="1" s="1"/>
  <c r="W267" i="1"/>
  <c r="V266" i="1"/>
  <c r="AB267" i="1"/>
  <c r="T267" i="1"/>
  <c r="U267" i="1" s="1"/>
  <c r="AD266" i="1"/>
  <c r="BY266" i="1" s="1"/>
  <c r="BE269" i="1"/>
  <c r="AZ269" i="1"/>
  <c r="BA269" i="1" s="1"/>
  <c r="BD266" i="1"/>
  <c r="AU268" i="1"/>
  <c r="AU261" i="1"/>
  <c r="BM261" i="1"/>
  <c r="BE260" i="1"/>
  <c r="BD259" i="1"/>
  <c r="AZ262" i="1"/>
  <c r="BA262" i="1" s="1"/>
  <c r="BE262" i="1"/>
  <c r="AZ245" i="1"/>
  <c r="AZ244" i="1"/>
  <c r="BR234" i="1"/>
  <c r="BS234" i="1" s="1"/>
  <c r="BV233" i="1"/>
  <c r="BW234" i="1"/>
  <c r="BP266" i="1"/>
  <c r="BF230" i="1"/>
  <c r="BK230" i="1"/>
  <c r="BR269" i="1"/>
  <c r="BS269" i="1" s="1"/>
  <c r="BC268" i="1"/>
  <c r="AZ268" i="1"/>
  <c r="BA268" i="1" s="1"/>
  <c r="AL245" i="1"/>
  <c r="AM245" i="1"/>
  <c r="T233" i="1"/>
  <c r="Y233" i="1"/>
  <c r="P230" i="1"/>
  <c r="N230" i="1" s="1"/>
  <c r="Q230" i="1"/>
  <c r="Q226" i="1" s="1"/>
  <c r="BR230" i="1"/>
  <c r="BS230" i="1" s="1"/>
  <c r="BW230" i="1"/>
  <c r="BV226" i="1"/>
  <c r="AD227" i="1"/>
  <c r="P218" i="1"/>
  <c r="V218" i="1" s="1"/>
  <c r="AZ241" i="1"/>
  <c r="BA241" i="1" s="1"/>
  <c r="BE241" i="1"/>
  <c r="BR216" i="1"/>
  <c r="BS216" i="1" s="1"/>
  <c r="BS235" i="1"/>
  <c r="BG232" i="1"/>
  <c r="BK218" i="1"/>
  <c r="BF218" i="1"/>
  <c r="BW221" i="1"/>
  <c r="BR221" i="1"/>
  <c r="BS221" i="1" s="1"/>
  <c r="AN201" i="1"/>
  <c r="AP204" i="1"/>
  <c r="AK204" i="1"/>
  <c r="AM204" i="1" s="1"/>
  <c r="BO171" i="1"/>
  <c r="BL171" i="1"/>
  <c r="BN168" i="1"/>
  <c r="BN170" i="1"/>
  <c r="AS266" i="1"/>
  <c r="AR266" i="1"/>
  <c r="AQ16" i="1"/>
  <c r="AS16" i="1" s="1"/>
  <c r="BE239" i="1"/>
  <c r="AZ239" i="1"/>
  <c r="BA239" i="1" s="1"/>
  <c r="BQ230" i="1"/>
  <c r="AY230" i="1"/>
  <c r="AQ230" i="1"/>
  <c r="BD230" i="1"/>
  <c r="AT230" i="1"/>
  <c r="BB195" i="1"/>
  <c r="BU195" i="1"/>
  <c r="BR195" i="1"/>
  <c r="BS195" i="1" s="1"/>
  <c r="BG193" i="1"/>
  <c r="W188" i="1"/>
  <c r="V166" i="1"/>
  <c r="AL179" i="1"/>
  <c r="AM179" i="1"/>
  <c r="AZ149" i="1"/>
  <c r="BA149" i="1" s="1"/>
  <c r="BC149" i="1"/>
  <c r="BG241" i="1"/>
  <c r="BV215" i="1"/>
  <c r="BR203" i="1"/>
  <c r="BS203" i="1" s="1"/>
  <c r="BU203" i="1"/>
  <c r="BT201" i="1"/>
  <c r="BO190" i="1"/>
  <c r="BL190" i="1"/>
  <c r="AH188" i="1"/>
  <c r="AI166" i="1"/>
  <c r="AI206" i="1" s="1"/>
  <c r="BU168" i="1"/>
  <c r="AZ170" i="1"/>
  <c r="AZ168" i="1"/>
  <c r="BA168" i="1" s="1"/>
  <c r="BA171" i="1"/>
  <c r="H157" i="1"/>
  <c r="AT276" i="1"/>
  <c r="AU142" i="1"/>
  <c r="Z276" i="1"/>
  <c r="AA276" i="1" s="1"/>
  <c r="AA142" i="1"/>
  <c r="U276" i="1"/>
  <c r="I136" i="1"/>
  <c r="I163" i="1"/>
  <c r="I208" i="1" s="1"/>
  <c r="I274" i="1" s="1"/>
  <c r="H137" i="1"/>
  <c r="BD129" i="1"/>
  <c r="BE135" i="1"/>
  <c r="P259" i="1"/>
  <c r="P15" i="1" s="1"/>
  <c r="AS259" i="1"/>
  <c r="S15" i="1"/>
  <c r="BU193" i="1"/>
  <c r="BR193" i="1"/>
  <c r="BS193" i="1" s="1"/>
  <c r="I189" i="1"/>
  <c r="BR185" i="1"/>
  <c r="BS185" i="1" s="1"/>
  <c r="BS186" i="1"/>
  <c r="BO172" i="1"/>
  <c r="BN169" i="1"/>
  <c r="BO169" i="1" s="1"/>
  <c r="BL172" i="1"/>
  <c r="E166" i="1"/>
  <c r="E206" i="1" s="1"/>
  <c r="L166" i="1"/>
  <c r="L206" i="1" s="1"/>
  <c r="K167" i="1"/>
  <c r="BB167" i="1"/>
  <c r="Q167" i="1"/>
  <c r="R166" i="1"/>
  <c r="R206" i="1" s="1"/>
  <c r="AW147" i="1"/>
  <c r="BN147" i="1"/>
  <c r="BO147" i="1" s="1"/>
  <c r="AT147" i="1"/>
  <c r="BI147" i="1"/>
  <c r="BY145" i="1"/>
  <c r="AD144" i="1"/>
  <c r="BY144" i="1" s="1"/>
  <c r="L136" i="1"/>
  <c r="BT138" i="1"/>
  <c r="BN138" i="1"/>
  <c r="BO138" i="1" s="1"/>
  <c r="AW138" i="1"/>
  <c r="AT137" i="1"/>
  <c r="BI137" i="1"/>
  <c r="BN137" i="1"/>
  <c r="AV136" i="1"/>
  <c r="AW137" i="1"/>
  <c r="AV163" i="1"/>
  <c r="BB163" i="1" s="1"/>
  <c r="BB137" i="1"/>
  <c r="AX105" i="1"/>
  <c r="AY105" i="1" s="1"/>
  <c r="AX104" i="1"/>
  <c r="BJ107" i="1"/>
  <c r="BP107" i="1" s="1"/>
  <c r="AQ107" i="1"/>
  <c r="AY107" i="1"/>
  <c r="AT107" i="1"/>
  <c r="Q259" i="1"/>
  <c r="AM259" i="1" s="1"/>
  <c r="O259" i="1"/>
  <c r="W259" i="1"/>
  <c r="W277" i="1" s="1"/>
  <c r="R15" i="1"/>
  <c r="Q15" i="1" s="1"/>
  <c r="BU15" i="1"/>
  <c r="Y237" i="1"/>
  <c r="BA227" i="1"/>
  <c r="BD193" i="1"/>
  <c r="AZ193" i="1" s="1"/>
  <c r="BA193" i="1" s="1"/>
  <c r="AX192" i="1"/>
  <c r="H169" i="1"/>
  <c r="W167" i="1"/>
  <c r="Z145" i="1"/>
  <c r="AA145" i="1" s="1"/>
  <c r="AC145" i="1"/>
  <c r="AB144" i="1"/>
  <c r="CA100" i="1"/>
  <c r="BU92" i="1"/>
  <c r="BR92" i="1"/>
  <c r="BS92" i="1" s="1"/>
  <c r="AW55" i="1"/>
  <c r="BN55" i="1"/>
  <c r="BB55" i="1"/>
  <c r="BC55" i="1" s="1"/>
  <c r="AT55" i="1"/>
  <c r="AU55" i="1" s="1"/>
  <c r="CD46" i="1"/>
  <c r="CE48" i="1"/>
  <c r="BO23" i="1"/>
  <c r="BL23" i="1"/>
  <c r="BM23" i="1" s="1"/>
  <c r="N148" i="1"/>
  <c r="N147" i="1" s="1"/>
  <c r="O147" i="1"/>
  <c r="AW139" i="1"/>
  <c r="BI139" i="1"/>
  <c r="BN139" i="1"/>
  <c r="BO139" i="1" s="1"/>
  <c r="AR136" i="1"/>
  <c r="AQ128" i="1"/>
  <c r="AL131" i="1"/>
  <c r="AM131" i="1"/>
  <c r="BO102" i="1"/>
  <c r="BL102" i="1"/>
  <c r="BM102" i="1" s="1"/>
  <c r="BO101" i="1"/>
  <c r="BL101" i="1"/>
  <c r="BM101" i="1" s="1"/>
  <c r="T84" i="1"/>
  <c r="BU55" i="1"/>
  <c r="BR55" i="1"/>
  <c r="BS55" i="1" s="1"/>
  <c r="BN201" i="1"/>
  <c r="BU184" i="1"/>
  <c r="BR184" i="1"/>
  <c r="BS184" i="1" s="1"/>
  <c r="BC182" i="1"/>
  <c r="AZ182" i="1"/>
  <c r="BA182" i="1" s="1"/>
  <c r="BU177" i="1"/>
  <c r="BR177" i="1"/>
  <c r="BS177" i="1" s="1"/>
  <c r="Z173" i="1"/>
  <c r="AA173" i="1" s="1"/>
  <c r="AC173" i="1"/>
  <c r="BR157" i="1"/>
  <c r="BS157" i="1" s="1"/>
  <c r="BU157" i="1"/>
  <c r="BS147" i="1"/>
  <c r="BM142" i="1"/>
  <c r="BG139" i="1"/>
  <c r="BU134" i="1"/>
  <c r="BR134" i="1"/>
  <c r="BS134" i="1" s="1"/>
  <c r="BU97" i="1"/>
  <c r="BR97" i="1"/>
  <c r="BS97" i="1" s="1"/>
  <c r="BO95" i="1"/>
  <c r="BL95" i="1"/>
  <c r="BM95" i="1" s="1"/>
  <c r="AK89" i="1"/>
  <c r="AL90" i="1"/>
  <c r="AM90" i="1"/>
  <c r="AZ72" i="1"/>
  <c r="BA72" i="1" s="1"/>
  <c r="BC72" i="1"/>
  <c r="BC65" i="1"/>
  <c r="BG55" i="1"/>
  <c r="BM47" i="1"/>
  <c r="AU47" i="1"/>
  <c r="BB37" i="1"/>
  <c r="H35" i="1"/>
  <c r="I32" i="1"/>
  <c r="Z32" i="1"/>
  <c r="AA34" i="1"/>
  <c r="AA32" i="1" s="1"/>
  <c r="O144" i="1"/>
  <c r="N144" i="1" s="1"/>
  <c r="N145" i="1"/>
  <c r="AL276" i="1"/>
  <c r="BU208" i="1"/>
  <c r="BT274" i="1"/>
  <c r="BU274" i="1" s="1"/>
  <c r="BG112" i="1"/>
  <c r="CA93" i="1"/>
  <c r="I85" i="1"/>
  <c r="AO84" i="1"/>
  <c r="AO82" i="1" s="1"/>
  <c r="AP84" i="1"/>
  <c r="BC34" i="1"/>
  <c r="AZ34" i="1"/>
  <c r="BB147" i="1"/>
  <c r="BC147" i="1" s="1"/>
  <c r="CE162" i="1"/>
  <c r="CE164" i="1" s="1"/>
  <c r="CD164" i="1"/>
  <c r="BZ210" i="1"/>
  <c r="CA104" i="1"/>
  <c r="AB277" i="1"/>
  <c r="BG157" i="1"/>
  <c r="G277" i="1"/>
  <c r="Q68" i="1"/>
  <c r="AP68" i="1"/>
  <c r="W163" i="1"/>
  <c r="V274" i="1"/>
  <c r="W274" i="1" s="1"/>
  <c r="W208" i="1"/>
  <c r="X128" i="1"/>
  <c r="CJ207" i="1"/>
  <c r="CJ126" i="1"/>
  <c r="AC94" i="1"/>
  <c r="Z94" i="1"/>
  <c r="AA94" i="1" s="1"/>
  <c r="CA84" i="1"/>
  <c r="AW68" i="1"/>
  <c r="AT68" i="1"/>
  <c r="AU68" i="1" s="1"/>
  <c r="CA54" i="1"/>
  <c r="L49" i="1"/>
  <c r="AB50" i="1"/>
  <c r="AV132" i="1"/>
  <c r="AV130" i="1" s="1"/>
  <c r="BI130" i="1" s="1"/>
  <c r="BF132" i="1"/>
  <c r="AF126" i="1"/>
  <c r="AF7" i="1"/>
  <c r="BO65" i="1"/>
  <c r="BL65" i="1"/>
  <c r="BM65" i="1" s="1"/>
  <c r="BG54" i="1"/>
  <c r="BG48" i="1"/>
  <c r="BO92" i="1"/>
  <c r="BN90" i="1"/>
  <c r="BL92" i="1"/>
  <c r="BM92" i="1" s="1"/>
  <c r="CA58" i="1"/>
  <c r="BZ57" i="1"/>
  <c r="CC24" i="1"/>
  <c r="BZ24" i="1"/>
  <c r="CA24" i="1" s="1"/>
  <c r="AH41" i="1"/>
  <c r="AO41" i="1"/>
  <c r="BC44" i="1"/>
  <c r="AZ44" i="1"/>
  <c r="AL31" i="1"/>
  <c r="AM31" i="1"/>
  <c r="AA58" i="1"/>
  <c r="Z57" i="1"/>
  <c r="AA57" i="1" s="1"/>
  <c r="Z31" i="1"/>
  <c r="AA31" i="1" s="1"/>
  <c r="AC31" i="1"/>
  <c r="BG69" i="1"/>
  <c r="Z170" i="1"/>
  <c r="AA170" i="1" s="1"/>
  <c r="AC170" i="1"/>
  <c r="M128" i="1"/>
  <c r="M162" i="1" s="1"/>
  <c r="M164" i="1" s="1"/>
  <c r="AS129" i="1"/>
  <c r="AU109" i="1"/>
  <c r="BM73" i="1"/>
  <c r="BL72" i="1"/>
  <c r="BM72" i="1" s="1"/>
  <c r="BN71" i="1"/>
  <c r="BN68" i="1" s="1"/>
  <c r="AW71" i="1"/>
  <c r="AT71" i="1"/>
  <c r="AU71" i="1" s="1"/>
  <c r="BF57" i="1"/>
  <c r="BM54" i="1"/>
  <c r="BI37" i="1"/>
  <c r="BM36" i="1"/>
  <c r="BZ48" i="1"/>
  <c r="CA48" i="1" s="1"/>
  <c r="BM28" i="1"/>
  <c r="AC259" i="1"/>
  <c r="AC277" i="1" s="1"/>
  <c r="BC266" i="1"/>
  <c r="BB16" i="1"/>
  <c r="AY215" i="1"/>
  <c r="AX214" i="1"/>
  <c r="AZ233" i="1"/>
  <c r="BA233" i="1" s="1"/>
  <c r="BE233" i="1"/>
  <c r="BY216" i="1"/>
  <c r="Z216" i="1"/>
  <c r="AA216" i="1" s="1"/>
  <c r="BN198" i="1"/>
  <c r="BO198" i="1" s="1"/>
  <c r="BI198" i="1"/>
  <c r="AT198" i="1"/>
  <c r="AW198" i="1"/>
  <c r="BL174" i="1"/>
  <c r="BM174" i="1" s="1"/>
  <c r="BN173" i="1"/>
  <c r="BO174" i="1"/>
  <c r="BF180" i="1"/>
  <c r="BJ179" i="1"/>
  <c r="BJ178" i="1" s="1"/>
  <c r="BL159" i="1"/>
  <c r="BM159" i="1" s="1"/>
  <c r="BO159" i="1"/>
  <c r="BJ151" i="1"/>
  <c r="BF155" i="1"/>
  <c r="BG155" i="1" s="1"/>
  <c r="BK155" i="1"/>
  <c r="BV155" i="1"/>
  <c r="BO179" i="1"/>
  <c r="BL179" i="1"/>
  <c r="BM179" i="1" s="1"/>
  <c r="K189" i="1"/>
  <c r="L188" i="1"/>
  <c r="AP189" i="1"/>
  <c r="BG172" i="1"/>
  <c r="BZ136" i="1"/>
  <c r="CA136" i="1" s="1"/>
  <c r="AL136" i="1"/>
  <c r="BU189" i="1"/>
  <c r="BR189" i="1"/>
  <c r="BS189" i="1" s="1"/>
  <c r="BT188" i="1"/>
  <c r="BZ166" i="1"/>
  <c r="AP163" i="1"/>
  <c r="R11" i="1"/>
  <c r="Q11" i="1" s="1"/>
  <c r="CF140" i="1"/>
  <c r="CF138" i="1" s="1"/>
  <c r="CH138" i="1"/>
  <c r="CH136" i="1" s="1"/>
  <c r="P210" i="1"/>
  <c r="N104" i="1"/>
  <c r="P124" i="1"/>
  <c r="BR93" i="1"/>
  <c r="BS93" i="1" s="1"/>
  <c r="BU93" i="1"/>
  <c r="BH89" i="1"/>
  <c r="BI90" i="1"/>
  <c r="BF90" i="1"/>
  <c r="BC52" i="1"/>
  <c r="AZ52" i="1"/>
  <c r="AC148" i="1"/>
  <c r="AB147" i="1"/>
  <c r="AC147" i="1" s="1"/>
  <c r="Z148" i="1"/>
  <c r="AZ143" i="1"/>
  <c r="BB139" i="1"/>
  <c r="BC139" i="1" s="1"/>
  <c r="BC143" i="1"/>
  <c r="BN145" i="1"/>
  <c r="AW145" i="1"/>
  <c r="AT145" i="1"/>
  <c r="AV144" i="1"/>
  <c r="BL134" i="1"/>
  <c r="BM134" i="1" s="1"/>
  <c r="BO134" i="1"/>
  <c r="BT90" i="1"/>
  <c r="L89" i="1"/>
  <c r="AB90" i="1"/>
  <c r="K90" i="1"/>
  <c r="BA87" i="1"/>
  <c r="AZ85" i="1"/>
  <c r="BC84" i="1"/>
  <c r="BM62" i="1"/>
  <c r="AU62" i="1"/>
  <c r="CD47" i="1"/>
  <c r="CE49" i="1"/>
  <c r="AU34" i="1"/>
  <c r="BR137" i="1"/>
  <c r="AZ76" i="1"/>
  <c r="BA76" i="1" s="1"/>
  <c r="BC76" i="1"/>
  <c r="AA140" i="1"/>
  <c r="Z138" i="1"/>
  <c r="AA138" i="1" s="1"/>
  <c r="BC80" i="1"/>
  <c r="AZ80" i="1"/>
  <c r="BA80" i="1" s="1"/>
  <c r="BO69" i="1"/>
  <c r="BL69" i="1"/>
  <c r="BM69" i="1" s="1"/>
  <c r="I24" i="1"/>
  <c r="H24" i="1" s="1"/>
  <c r="H54" i="1"/>
  <c r="I50" i="1"/>
  <c r="BR24" i="1"/>
  <c r="BS24" i="1" s="1"/>
  <c r="CA77" i="1"/>
  <c r="BU77" i="1"/>
  <c r="BU35" i="1"/>
  <c r="BR35" i="1"/>
  <c r="BS35" i="1" s="1"/>
  <c r="BA36" i="1"/>
  <c r="BW113" i="1"/>
  <c r="BR113" i="1"/>
  <c r="BS113" i="1" s="1"/>
  <c r="AY129" i="1"/>
  <c r="AX128" i="1"/>
  <c r="BP129" i="1"/>
  <c r="AK109" i="1"/>
  <c r="AM109" i="1" s="1"/>
  <c r="AS109" i="1"/>
  <c r="BL24" i="1"/>
  <c r="BO24" i="1"/>
  <c r="BI53" i="1"/>
  <c r="BT53" i="1"/>
  <c r="BF53" i="1"/>
  <c r="BH50" i="1"/>
  <c r="BT50" i="1" s="1"/>
  <c r="CA50" i="1" s="1"/>
  <c r="BN53" i="1"/>
  <c r="CE31" i="1"/>
  <c r="BR266" i="1"/>
  <c r="BS266" i="1" s="1"/>
  <c r="BS267" i="1"/>
  <c r="BE231" i="1"/>
  <c r="AZ231" i="1"/>
  <c r="BA231" i="1" s="1"/>
  <c r="T262" i="1"/>
  <c r="U262" i="1" s="1"/>
  <c r="Y262" i="1"/>
  <c r="X259" i="1"/>
  <c r="AQ233" i="1"/>
  <c r="AT233" i="1"/>
  <c r="AU233" i="1" s="1"/>
  <c r="AY233" i="1"/>
  <c r="BJ215" i="1"/>
  <c r="BF228" i="1"/>
  <c r="BJ227" i="1"/>
  <c r="AZ232" i="1"/>
  <c r="BA232" i="1" s="1"/>
  <c r="BE232" i="1"/>
  <c r="AK241" i="1"/>
  <c r="AM241" i="1" s="1"/>
  <c r="AS241" i="1"/>
  <c r="AZ196" i="1"/>
  <c r="BA196" i="1" s="1"/>
  <c r="BC196" i="1"/>
  <c r="AL189" i="1"/>
  <c r="AM189" i="1"/>
  <c r="BE153" i="1"/>
  <c r="AZ153" i="1"/>
  <c r="BY239" i="1"/>
  <c r="Z239" i="1"/>
  <c r="AA239" i="1" s="1"/>
  <c r="AU194" i="1"/>
  <c r="BG194" i="1"/>
  <c r="H167" i="1"/>
  <c r="BV151" i="1"/>
  <c r="BR152" i="1"/>
  <c r="BS152" i="1" s="1"/>
  <c r="BW152" i="1"/>
  <c r="BC150" i="1"/>
  <c r="AZ150" i="1"/>
  <c r="BA150" i="1" s="1"/>
  <c r="AB132" i="1"/>
  <c r="O132" i="1"/>
  <c r="Q132" i="1"/>
  <c r="AP132" i="1"/>
  <c r="R130" i="1"/>
  <c r="T147" i="1"/>
  <c r="U147" i="1" s="1"/>
  <c r="U148" i="1"/>
  <c r="BI145" i="1"/>
  <c r="BL140" i="1"/>
  <c r="BO140" i="1"/>
  <c r="BT163" i="1"/>
  <c r="L11" i="1"/>
  <c r="K11" i="1" s="1"/>
  <c r="BC98" i="1"/>
  <c r="BB97" i="1"/>
  <c r="AZ98" i="1"/>
  <c r="BA98" i="1" s="1"/>
  <c r="AX264" i="1"/>
  <c r="Y264" i="1"/>
  <c r="T264" i="1"/>
  <c r="U264" i="1" s="1"/>
  <c r="O189" i="1"/>
  <c r="N189" i="1" s="1"/>
  <c r="BU172" i="1"/>
  <c r="BR172" i="1"/>
  <c r="BS172" i="1" s="1"/>
  <c r="BT169" i="1"/>
  <c r="CA172" i="1"/>
  <c r="CA169" i="1" s="1"/>
  <c r="AH166" i="1"/>
  <c r="AH206" i="1" s="1"/>
  <c r="BT276" i="1"/>
  <c r="BU276" i="1" s="1"/>
  <c r="BU142" i="1"/>
  <c r="BR142" i="1"/>
  <c r="E128" i="1"/>
  <c r="F162" i="1"/>
  <c r="BG260" i="1"/>
  <c r="AU167" i="1"/>
  <c r="AB208" i="1"/>
  <c r="AB163" i="1"/>
  <c r="AC163" i="1" s="1"/>
  <c r="Z137" i="1"/>
  <c r="AC137" i="1"/>
  <c r="BF110" i="1"/>
  <c r="BV110" i="1"/>
  <c r="AX124" i="1"/>
  <c r="BL70" i="1"/>
  <c r="BM70" i="1" s="1"/>
  <c r="BO70" i="1"/>
  <c r="AW50" i="1"/>
  <c r="AV49" i="1"/>
  <c r="BU176" i="1"/>
  <c r="BR176" i="1"/>
  <c r="BS176" i="1" s="1"/>
  <c r="CA170" i="1"/>
  <c r="BL143" i="1"/>
  <c r="BM143" i="1" s="1"/>
  <c r="BO143" i="1"/>
  <c r="AU143" i="1"/>
  <c r="BG143" i="1"/>
  <c r="E277" i="1"/>
  <c r="CA141" i="1"/>
  <c r="BZ139" i="1"/>
  <c r="CA139" i="1" s="1"/>
  <c r="O138" i="1"/>
  <c r="O136" i="1" s="1"/>
  <c r="N136" i="1" s="1"/>
  <c r="BR73" i="1"/>
  <c r="BU73" i="1"/>
  <c r="BT72" i="1"/>
  <c r="AW63" i="1"/>
  <c r="AK25" i="1"/>
  <c r="AM56" i="1"/>
  <c r="AL56" i="1"/>
  <c r="BZ49" i="1"/>
  <c r="H145" i="1"/>
  <c r="I144" i="1"/>
  <c r="H144" i="1" s="1"/>
  <c r="AI162" i="1"/>
  <c r="AH128" i="1"/>
  <c r="AZ23" i="1"/>
  <c r="BA23" i="1" s="1"/>
  <c r="BA103" i="1"/>
  <c r="BC47" i="1"/>
  <c r="AZ47" i="1"/>
  <c r="BA47" i="1" s="1"/>
  <c r="BA140" i="1"/>
  <c r="AZ138" i="1"/>
  <c r="AC168" i="1"/>
  <c r="AB167" i="1"/>
  <c r="BZ135" i="1"/>
  <c r="CA135" i="1" s="1"/>
  <c r="CC135" i="1"/>
  <c r="BU94" i="1"/>
  <c r="BR94" i="1"/>
  <c r="BS94" i="1" s="1"/>
  <c r="Z54" i="1"/>
  <c r="AA54" i="1" s="1"/>
  <c r="AB24" i="1"/>
  <c r="AC54" i="1"/>
  <c r="BL63" i="1"/>
  <c r="AU36" i="1"/>
  <c r="BG36" i="1"/>
  <c r="AT24" i="1"/>
  <c r="AP267" i="1"/>
  <c r="AK267" i="1"/>
  <c r="AN266" i="1"/>
  <c r="BE235" i="1"/>
  <c r="AZ235" i="1"/>
  <c r="BA235" i="1" s="1"/>
  <c r="W268" i="1"/>
  <c r="T268" i="1"/>
  <c r="U268" i="1" s="1"/>
  <c r="AL268" i="1"/>
  <c r="AM268" i="1"/>
  <c r="BF266" i="1"/>
  <c r="AD262" i="1"/>
  <c r="AD259" i="1" s="1"/>
  <c r="BD243" i="1"/>
  <c r="BJ236" i="1"/>
  <c r="BF233" i="1"/>
  <c r="BK233" i="1"/>
  <c r="BI266" i="1"/>
  <c r="BH16" i="1"/>
  <c r="BM260" i="1"/>
  <c r="AX236" i="1"/>
  <c r="Z233" i="1"/>
  <c r="AA233" i="1" s="1"/>
  <c r="BY233" i="1"/>
  <c r="AX226" i="1"/>
  <c r="BS227" i="1"/>
  <c r="K226" i="1"/>
  <c r="AZ202" i="1"/>
  <c r="BA202" i="1" s="1"/>
  <c r="BC202" i="1"/>
  <c r="BB201" i="1"/>
  <c r="AP234" i="1"/>
  <c r="U234" i="1"/>
  <c r="AD230" i="1"/>
  <c r="Z232" i="1"/>
  <c r="AA232" i="1" s="1"/>
  <c r="BY232" i="1"/>
  <c r="N227" i="1"/>
  <c r="T221" i="1"/>
  <c r="U221" i="1" s="1"/>
  <c r="Y221" i="1"/>
  <c r="AD221" i="1"/>
  <c r="AP219" i="1"/>
  <c r="U219" i="1"/>
  <c r="N218" i="1"/>
  <c r="BL241" i="1"/>
  <c r="BM241" i="1" s="1"/>
  <c r="BQ241" i="1"/>
  <c r="BP240" i="1"/>
  <c r="AZ229" i="1"/>
  <c r="BA229" i="1" s="1"/>
  <c r="BE229" i="1"/>
  <c r="BD216" i="1"/>
  <c r="AS223" i="1"/>
  <c r="AK223" i="1"/>
  <c r="AM223" i="1" s="1"/>
  <c r="S217" i="1"/>
  <c r="S213" i="1"/>
  <c r="Q214" i="1"/>
  <c r="BB198" i="1"/>
  <c r="AL194" i="1"/>
  <c r="AM194" i="1"/>
  <c r="AC189" i="1"/>
  <c r="Z189" i="1"/>
  <c r="AA189" i="1" s="1"/>
  <c r="AB188" i="1"/>
  <c r="AN274" i="1"/>
  <c r="AP274" i="1" s="1"/>
  <c r="AP208" i="1"/>
  <c r="AN11" i="1"/>
  <c r="BU266" i="1"/>
  <c r="BT16" i="1"/>
  <c r="BB259" i="1"/>
  <c r="BQ232" i="1"/>
  <c r="BP216" i="1"/>
  <c r="BL232" i="1"/>
  <c r="BE221" i="1"/>
  <c r="AZ221" i="1"/>
  <c r="BA221" i="1" s="1"/>
  <c r="U201" i="1"/>
  <c r="U189" i="1"/>
  <c r="T188" i="1"/>
  <c r="AA176" i="1"/>
  <c r="BR241" i="1"/>
  <c r="BS241" i="1" s="1"/>
  <c r="BW241" i="1"/>
  <c r="BV240" i="1"/>
  <c r="BV217" i="1" s="1"/>
  <c r="Q215" i="1"/>
  <c r="AD274" i="1"/>
  <c r="BY274" i="1" s="1"/>
  <c r="BF189" i="1"/>
  <c r="BH188" i="1"/>
  <c r="AC185" i="1"/>
  <c r="Z185" i="1"/>
  <c r="AA185" i="1" s="1"/>
  <c r="BT170" i="1"/>
  <c r="BI167" i="1"/>
  <c r="BH166" i="1"/>
  <c r="BF167" i="1"/>
  <c r="BU161" i="1"/>
  <c r="BR161" i="1"/>
  <c r="BS161" i="1" s="1"/>
  <c r="BR154" i="1"/>
  <c r="BS154" i="1" s="1"/>
  <c r="BW154" i="1"/>
  <c r="BM141" i="1"/>
  <c r="Z131" i="1"/>
  <c r="AA131" i="1" s="1"/>
  <c r="AC131" i="1"/>
  <c r="BB277" i="1"/>
  <c r="AS264" i="1"/>
  <c r="AK264" i="1"/>
  <c r="AM264" i="1" s="1"/>
  <c r="AW193" i="1"/>
  <c r="AT193" i="1"/>
  <c r="AU193" i="1" s="1"/>
  <c r="BN193" i="1"/>
  <c r="AV189" i="1"/>
  <c r="BI189" i="1" s="1"/>
  <c r="BA177" i="1"/>
  <c r="AZ176" i="1"/>
  <c r="BA176" i="1" s="1"/>
  <c r="BD151" i="1"/>
  <c r="BE151" i="1" s="1"/>
  <c r="AU148" i="1"/>
  <c r="BG148" i="1"/>
  <c r="AM139" i="1"/>
  <c r="AL139" i="1"/>
  <c r="BZ276" i="1"/>
  <c r="CA142" i="1"/>
  <c r="CA276" i="1" s="1"/>
  <c r="K276" i="1"/>
  <c r="AM276" i="1" s="1"/>
  <c r="K138" i="1"/>
  <c r="K136" i="1" s="1"/>
  <c r="AK208" i="1"/>
  <c r="AL163" i="1"/>
  <c r="BC135" i="1"/>
  <c r="AZ135" i="1"/>
  <c r="BA135" i="1" s="1"/>
  <c r="W132" i="1"/>
  <c r="AM94" i="1"/>
  <c r="AL94" i="1"/>
  <c r="BV259" i="1"/>
  <c r="BV15" i="1" s="1"/>
  <c r="BW15" i="1" s="1"/>
  <c r="CA189" i="1"/>
  <c r="AZ169" i="1"/>
  <c r="BA169" i="1" s="1"/>
  <c r="J167" i="1"/>
  <c r="J166" i="1" s="1"/>
  <c r="J206" i="1" s="1"/>
  <c r="AM144" i="1"/>
  <c r="AC135" i="1"/>
  <c r="Z135" i="1"/>
  <c r="AA135" i="1" s="1"/>
  <c r="Z122" i="1"/>
  <c r="AA122" i="1" s="1"/>
  <c r="BV109" i="1"/>
  <c r="T108" i="1"/>
  <c r="U108" i="1" s="1"/>
  <c r="Y108" i="1"/>
  <c r="AD108" i="1"/>
  <c r="BG92" i="1"/>
  <c r="AC84" i="1"/>
  <c r="Z84" i="1"/>
  <c r="AL63" i="1"/>
  <c r="AM63" i="1"/>
  <c r="BB38" i="1"/>
  <c r="BC38" i="1" s="1"/>
  <c r="BC39" i="1"/>
  <c r="AZ39" i="1"/>
  <c r="F274" i="1"/>
  <c r="E208" i="1"/>
  <c r="E274" i="1" s="1"/>
  <c r="Z182" i="1"/>
  <c r="AA182" i="1" s="1"/>
  <c r="AC182" i="1"/>
  <c r="BN133" i="1"/>
  <c r="BL133" i="1" s="1"/>
  <c r="AT133" i="1"/>
  <c r="AU133" i="1" s="1"/>
  <c r="BR112" i="1"/>
  <c r="BS112" i="1" s="1"/>
  <c r="BW112" i="1"/>
  <c r="AY218" i="1"/>
  <c r="AT218" i="1"/>
  <c r="AC201" i="1"/>
  <c r="Y151" i="1"/>
  <c r="BB276" i="1"/>
  <c r="BC276" i="1" s="1"/>
  <c r="V128" i="1"/>
  <c r="AZ112" i="1"/>
  <c r="BA112" i="1" s="1"/>
  <c r="BD111" i="1"/>
  <c r="BE112" i="1"/>
  <c r="AW97" i="1"/>
  <c r="AT97" i="1"/>
  <c r="BO97" i="1"/>
  <c r="CA94" i="1"/>
  <c r="O90" i="1"/>
  <c r="AC86" i="1"/>
  <c r="Z86" i="1"/>
  <c r="AA86" i="1" s="1"/>
  <c r="Z65" i="1"/>
  <c r="AA65" i="1" s="1"/>
  <c r="AC65" i="1"/>
  <c r="K63" i="1"/>
  <c r="AB63" i="1"/>
  <c r="BN42" i="1"/>
  <c r="N37" i="1"/>
  <c r="N32" i="1" s="1"/>
  <c r="O25" i="1"/>
  <c r="N25" i="1" s="1"/>
  <c r="AZ33" i="1"/>
  <c r="BA33" i="1" s="1"/>
  <c r="BC33" i="1"/>
  <c r="BZ23" i="1"/>
  <c r="CA23" i="1" s="1"/>
  <c r="CC23" i="1"/>
  <c r="Y230" i="1"/>
  <c r="O157" i="1"/>
  <c r="N157" i="1" s="1"/>
  <c r="AL148" i="1"/>
  <c r="AM148" i="1"/>
  <c r="AK147" i="1"/>
  <c r="BT144" i="1"/>
  <c r="K144" i="1"/>
  <c r="CF131" i="1"/>
  <c r="CH129" i="1"/>
  <c r="BC58" i="1"/>
  <c r="BB57" i="1"/>
  <c r="BC57" i="1" s="1"/>
  <c r="BC42" i="1"/>
  <c r="BB41" i="1"/>
  <c r="BC41" i="1" s="1"/>
  <c r="AL170" i="1"/>
  <c r="AM170" i="1"/>
  <c r="BA148" i="1"/>
  <c r="H130" i="1"/>
  <c r="I129" i="1"/>
  <c r="S104" i="1"/>
  <c r="BP174" i="1"/>
  <c r="BL175" i="1"/>
  <c r="BM175" i="1" s="1"/>
  <c r="BP169" i="1"/>
  <c r="AC138" i="1"/>
  <c r="AB136" i="1"/>
  <c r="AK129" i="1"/>
  <c r="AN128" i="1"/>
  <c r="AO129" i="1"/>
  <c r="AJ162" i="1"/>
  <c r="AJ164" i="1" s="1"/>
  <c r="BW120" i="1"/>
  <c r="BR120" i="1"/>
  <c r="BS120" i="1" s="1"/>
  <c r="BP110" i="1"/>
  <c r="BL110" i="1" s="1"/>
  <c r="U107" i="1"/>
  <c r="BG95" i="1"/>
  <c r="BG135" i="1"/>
  <c r="AT94" i="1"/>
  <c r="BO94" i="1"/>
  <c r="BI94" i="1"/>
  <c r="BB94" i="1"/>
  <c r="AW94" i="1"/>
  <c r="BR80" i="1"/>
  <c r="BS80" i="1" s="1"/>
  <c r="BT78" i="1"/>
  <c r="BU80" i="1"/>
  <c r="BC69" i="1"/>
  <c r="AZ69" i="1"/>
  <c r="BA69" i="1" s="1"/>
  <c r="BB68" i="1"/>
  <c r="BC54" i="1"/>
  <c r="AZ54" i="1"/>
  <c r="BB24" i="1"/>
  <c r="BC24" i="1" s="1"/>
  <c r="BY46" i="1"/>
  <c r="AD44" i="1"/>
  <c r="AO136" i="1"/>
  <c r="AP136" i="1"/>
  <c r="AW131" i="1"/>
  <c r="BN131" i="1"/>
  <c r="AT131" i="1"/>
  <c r="BG131" i="1" s="1"/>
  <c r="BB131" i="1"/>
  <c r="BH129" i="1"/>
  <c r="BF130" i="1"/>
  <c r="BT130" i="1"/>
  <c r="BM64" i="1"/>
  <c r="Z45" i="1"/>
  <c r="AA45" i="1" s="1"/>
  <c r="P105" i="1"/>
  <c r="N105" i="1" s="1"/>
  <c r="I90" i="1"/>
  <c r="BA60" i="1"/>
  <c r="AZ58" i="1"/>
  <c r="AT50" i="1"/>
  <c r="N28" i="1"/>
  <c r="BF111" i="1"/>
  <c r="BK111" i="1"/>
  <c r="BV111" i="1"/>
  <c r="BD20" i="1"/>
  <c r="CA168" i="1"/>
  <c r="BV130" i="1"/>
  <c r="CB131" i="1"/>
  <c r="BP109" i="1"/>
  <c r="BL109" i="1" s="1"/>
  <c r="BQ108" i="1"/>
  <c r="BL108" i="1"/>
  <c r="BM108" i="1" s="1"/>
  <c r="AU74" i="1"/>
  <c r="BG74" i="1"/>
  <c r="Z68" i="1"/>
  <c r="AC68" i="1"/>
  <c r="BU63" i="1"/>
  <c r="BR63" i="1"/>
  <c r="BG37" i="1"/>
  <c r="BF35" i="1"/>
  <c r="U168" i="1"/>
  <c r="T167" i="1"/>
  <c r="BR56" i="1"/>
  <c r="BS56" i="1" s="1"/>
  <c r="BU56" i="1"/>
  <c r="CA35" i="1"/>
  <c r="BZ31" i="1"/>
  <c r="T49" i="1"/>
  <c r="S20" i="1"/>
  <c r="T218" i="1" l="1"/>
  <c r="AS218" i="1"/>
  <c r="Y223" i="1"/>
  <c r="AZ218" i="1"/>
  <c r="AU215" i="1"/>
  <c r="T215" i="1"/>
  <c r="U215" i="1" s="1"/>
  <c r="BL233" i="1"/>
  <c r="BM233" i="1" s="1"/>
  <c r="AD223" i="1"/>
  <c r="BY223" i="1" s="1"/>
  <c r="P226" i="1"/>
  <c r="BV218" i="1"/>
  <c r="BW218" i="1" s="1"/>
  <c r="N226" i="1"/>
  <c r="AS215" i="1"/>
  <c r="BJ14" i="1"/>
  <c r="BK14" i="1" s="1"/>
  <c r="BK216" i="1"/>
  <c r="Y226" i="1"/>
  <c r="BR223" i="1"/>
  <c r="BS223" i="1" s="1"/>
  <c r="BA218" i="1"/>
  <c r="BJ11" i="1"/>
  <c r="BK11" i="1" s="1"/>
  <c r="P214" i="1"/>
  <c r="P213" i="1" s="1"/>
  <c r="P7" i="1" s="1"/>
  <c r="T223" i="1"/>
  <c r="U223" i="1" s="1"/>
  <c r="BG216" i="1"/>
  <c r="AG8" i="1"/>
  <c r="Z218" i="1"/>
  <c r="AA218" i="1" s="1"/>
  <c r="BY218" i="1"/>
  <c r="BR14" i="1"/>
  <c r="BS14" i="1" s="1"/>
  <c r="BW14" i="1"/>
  <c r="N214" i="1"/>
  <c r="N217" i="1" s="1"/>
  <c r="Y215" i="1"/>
  <c r="Y218" i="1"/>
  <c r="X214" i="1"/>
  <c r="X213" i="1" s="1"/>
  <c r="Y213" i="1" s="1"/>
  <c r="BL215" i="1"/>
  <c r="BM215" i="1" s="1"/>
  <c r="T157" i="1"/>
  <c r="U157" i="1" s="1"/>
  <c r="U158" i="1"/>
  <c r="Z158" i="1"/>
  <c r="AA158" i="1" s="1"/>
  <c r="AC158" i="1"/>
  <c r="AB157" i="1"/>
  <c r="BZ277" i="1"/>
  <c r="N210" i="1"/>
  <c r="M277" i="1"/>
  <c r="AG164" i="1"/>
  <c r="AG207" i="1"/>
  <c r="T128" i="1"/>
  <c r="G273" i="1"/>
  <c r="G275" i="1" s="1"/>
  <c r="AZ276" i="1"/>
  <c r="BA276" i="1" s="1"/>
  <c r="AF207" i="1"/>
  <c r="AF209" i="1" s="1"/>
  <c r="AF275" i="1" s="1"/>
  <c r="AE162" i="1"/>
  <c r="AE164" i="1" s="1"/>
  <c r="G271" i="1"/>
  <c r="G279" i="1" s="1"/>
  <c r="BG111" i="1"/>
  <c r="AZ116" i="1"/>
  <c r="BA116" i="1" s="1"/>
  <c r="S124" i="1"/>
  <c r="S7" i="1" s="1"/>
  <c r="J124" i="1"/>
  <c r="J126" i="1" s="1"/>
  <c r="H104" i="1"/>
  <c r="H210" i="1" s="1"/>
  <c r="H277" i="1" s="1"/>
  <c r="BP116" i="1"/>
  <c r="BF116" i="1"/>
  <c r="BG116" i="1" s="1"/>
  <c r="BV116" i="1"/>
  <c r="BK116" i="1"/>
  <c r="AU111" i="1"/>
  <c r="BR117" i="1"/>
  <c r="BS117" i="1" s="1"/>
  <c r="BW117" i="1"/>
  <c r="AA68" i="1"/>
  <c r="BO63" i="1"/>
  <c r="AT63" i="1"/>
  <c r="AU63" i="1" s="1"/>
  <c r="M52" i="1"/>
  <c r="K54" i="1"/>
  <c r="AU54" i="1" s="1"/>
  <c r="BS54" i="1"/>
  <c r="BA54" i="1"/>
  <c r="BR58" i="1"/>
  <c r="BU58" i="1"/>
  <c r="Z48" i="1"/>
  <c r="AA48" i="1" s="1"/>
  <c r="AC48" i="1"/>
  <c r="AB25" i="1"/>
  <c r="W42" i="1"/>
  <c r="T42" i="1"/>
  <c r="V41" i="1"/>
  <c r="AB42" i="1"/>
  <c r="AC42" i="1" s="1"/>
  <c r="I57" i="1"/>
  <c r="H57" i="1" s="1"/>
  <c r="H58" i="1"/>
  <c r="AO25" i="1"/>
  <c r="AP25" i="1"/>
  <c r="AZ100" i="1"/>
  <c r="BA100" i="1" s="1"/>
  <c r="BC100" i="1"/>
  <c r="BN50" i="1"/>
  <c r="BL50" i="1" s="1"/>
  <c r="BM50" i="1" s="1"/>
  <c r="BG90" i="1"/>
  <c r="CA57" i="1"/>
  <c r="AU100" i="1"/>
  <c r="BM100" i="1"/>
  <c r="BS63" i="1"/>
  <c r="BA51" i="1"/>
  <c r="BG65" i="1"/>
  <c r="AE7" i="1"/>
  <c r="N138" i="1"/>
  <c r="I128" i="1"/>
  <c r="I162" i="1" s="1"/>
  <c r="BY259" i="1"/>
  <c r="Z259" i="1"/>
  <c r="AA259" i="1" s="1"/>
  <c r="BP104" i="1"/>
  <c r="BL107" i="1"/>
  <c r="BM107" i="1" s="1"/>
  <c r="BP105" i="1"/>
  <c r="BQ107" i="1"/>
  <c r="AZ57" i="1"/>
  <c r="BA57" i="1" s="1"/>
  <c r="BA58" i="1"/>
  <c r="BL131" i="1"/>
  <c r="BM131" i="1" s="1"/>
  <c r="BO131" i="1"/>
  <c r="AK128" i="1"/>
  <c r="AL129" i="1"/>
  <c r="AM208" i="1"/>
  <c r="BG167" i="1"/>
  <c r="BM232" i="1"/>
  <c r="BL216" i="1"/>
  <c r="BM216" i="1" s="1"/>
  <c r="BU16" i="1"/>
  <c r="BR16" i="1"/>
  <c r="BS16" i="1" s="1"/>
  <c r="BY230" i="1"/>
  <c r="Z230" i="1"/>
  <c r="AA230" i="1" s="1"/>
  <c r="BJ264" i="1"/>
  <c r="AT264" i="1"/>
  <c r="AX259" i="1"/>
  <c r="BD264" i="1"/>
  <c r="BM140" i="1"/>
  <c r="BL138" i="1"/>
  <c r="BM138" i="1" s="1"/>
  <c r="N132" i="1"/>
  <c r="N130" i="1" s="1"/>
  <c r="O130" i="1"/>
  <c r="O129" i="1" s="1"/>
  <c r="BF215" i="1"/>
  <c r="BG215" i="1" s="1"/>
  <c r="BG228" i="1"/>
  <c r="AK233" i="1"/>
  <c r="AM233" i="1" s="1"/>
  <c r="AS233" i="1"/>
  <c r="BF50" i="1"/>
  <c r="BG50" i="1" s="1"/>
  <c r="BG53" i="1"/>
  <c r="BM24" i="1"/>
  <c r="AY128" i="1"/>
  <c r="AX162" i="1"/>
  <c r="H50" i="1"/>
  <c r="I49" i="1"/>
  <c r="H49" i="1" s="1"/>
  <c r="BO68" i="1"/>
  <c r="BL68" i="1"/>
  <c r="BM68" i="1" s="1"/>
  <c r="BS137" i="1"/>
  <c r="BR208" i="1"/>
  <c r="BT89" i="1"/>
  <c r="BU90" i="1"/>
  <c r="BR90" i="1"/>
  <c r="BS90" i="1" s="1"/>
  <c r="CA90" i="1"/>
  <c r="AT144" i="1"/>
  <c r="AU145" i="1"/>
  <c r="BG145" i="1"/>
  <c r="BV178" i="1"/>
  <c r="CC178" i="1" s="1"/>
  <c r="CC169" i="1" s="1"/>
  <c r="BF178" i="1"/>
  <c r="BG178" i="1" s="1"/>
  <c r="BJ177" i="1"/>
  <c r="AY214" i="1"/>
  <c r="AT214" i="1"/>
  <c r="AX213" i="1"/>
  <c r="AX217" i="1"/>
  <c r="AY217" i="1" s="1"/>
  <c r="BC16" i="1"/>
  <c r="AT132" i="1"/>
  <c r="AU132" i="1" s="1"/>
  <c r="BN132" i="1"/>
  <c r="BB132" i="1"/>
  <c r="BB130" i="1" s="1"/>
  <c r="AW132" i="1"/>
  <c r="AB49" i="1"/>
  <c r="L26" i="1"/>
  <c r="AM68" i="1"/>
  <c r="U68" i="1"/>
  <c r="M12" i="1"/>
  <c r="K12" i="1" s="1"/>
  <c r="K13" i="1"/>
  <c r="H85" i="1"/>
  <c r="I84" i="1"/>
  <c r="H84" i="1" s="1"/>
  <c r="AL89" i="1"/>
  <c r="AM89" i="1"/>
  <c r="BD192" i="1"/>
  <c r="AZ192" i="1" s="1"/>
  <c r="BA192" i="1" s="1"/>
  <c r="AX191" i="1"/>
  <c r="AT192" i="1"/>
  <c r="BR15" i="1"/>
  <c r="BS15" i="1" s="1"/>
  <c r="N259" i="1"/>
  <c r="O15" i="1"/>
  <c r="N15" i="1" s="1"/>
  <c r="O277" i="1"/>
  <c r="AQ105" i="1"/>
  <c r="AQ104" i="1" s="1"/>
  <c r="AK107" i="1"/>
  <c r="AS107" i="1"/>
  <c r="AT136" i="1"/>
  <c r="BN136" i="1"/>
  <c r="BO136" i="1" s="1"/>
  <c r="AW136" i="1"/>
  <c r="BI136" i="1"/>
  <c r="AZ195" i="1"/>
  <c r="BA195" i="1" s="1"/>
  <c r="BC195" i="1"/>
  <c r="BO168" i="1"/>
  <c r="BN167" i="1"/>
  <c r="BG218" i="1"/>
  <c r="BW226" i="1"/>
  <c r="BR226" i="1"/>
  <c r="BS226" i="1" s="1"/>
  <c r="BR233" i="1"/>
  <c r="BS233" i="1" s="1"/>
  <c r="BW233" i="1"/>
  <c r="BE266" i="1"/>
  <c r="BD16" i="1"/>
  <c r="BE16" i="1" s="1"/>
  <c r="CB124" i="1"/>
  <c r="CC20" i="1"/>
  <c r="Z43" i="1"/>
  <c r="AA43" i="1" s="1"/>
  <c r="BY43" i="1"/>
  <c r="BG68" i="1"/>
  <c r="AT89" i="1"/>
  <c r="AW89" i="1"/>
  <c r="AV82" i="1"/>
  <c r="BI41" i="1"/>
  <c r="BF41" i="1"/>
  <c r="BG41" i="1" s="1"/>
  <c r="BA107" i="1"/>
  <c r="AZ105" i="1"/>
  <c r="BA105" i="1" s="1"/>
  <c r="AK216" i="1"/>
  <c r="AK274" i="1" s="1"/>
  <c r="AM274" i="1" s="1"/>
  <c r="AQ11" i="1"/>
  <c r="AK11" i="1" s="1"/>
  <c r="AM11" i="1" s="1"/>
  <c r="AQ274" i="1"/>
  <c r="P236" i="1"/>
  <c r="N237" i="1"/>
  <c r="N236" i="1" s="1"/>
  <c r="AS243" i="1"/>
  <c r="AJ243" i="1"/>
  <c r="AH243" i="1" s="1"/>
  <c r="BM267" i="1"/>
  <c r="BL266" i="1"/>
  <c r="BM266" i="1" s="1"/>
  <c r="BN35" i="1"/>
  <c r="AW35" i="1"/>
  <c r="AT35" i="1"/>
  <c r="BG35" i="1" s="1"/>
  <c r="BB35" i="1"/>
  <c r="BG71" i="1"/>
  <c r="AM84" i="1"/>
  <c r="AL84" i="1"/>
  <c r="AT57" i="1"/>
  <c r="AU57" i="1" s="1"/>
  <c r="AU58" i="1"/>
  <c r="BJ162" i="1"/>
  <c r="BK128" i="1"/>
  <c r="CA277" i="1"/>
  <c r="CA210" i="1"/>
  <c r="BL276" i="1"/>
  <c r="BM276" i="1" s="1"/>
  <c r="BO201" i="1"/>
  <c r="BL201" i="1"/>
  <c r="BM201" i="1" s="1"/>
  <c r="BO55" i="1"/>
  <c r="BL55" i="1"/>
  <c r="BM55" i="1" s="1"/>
  <c r="BB208" i="1"/>
  <c r="AZ137" i="1"/>
  <c r="BC137" i="1"/>
  <c r="BB136" i="1"/>
  <c r="BL137" i="1"/>
  <c r="BN208" i="1"/>
  <c r="BN163" i="1"/>
  <c r="BO137" i="1"/>
  <c r="BL168" i="1"/>
  <c r="BM168" i="1" s="1"/>
  <c r="BM171" i="1"/>
  <c r="BG230" i="1"/>
  <c r="Z267" i="1"/>
  <c r="AA267" i="1" s="1"/>
  <c r="AC267" i="1"/>
  <c r="AB266" i="1"/>
  <c r="BL37" i="1"/>
  <c r="BM37" i="1" s="1"/>
  <c r="BN25" i="1"/>
  <c r="BO37" i="1"/>
  <c r="BC90" i="1"/>
  <c r="BB89" i="1"/>
  <c r="Y112" i="1"/>
  <c r="Y111" i="1" s="1"/>
  <c r="T112" i="1"/>
  <c r="AD112" i="1"/>
  <c r="X111" i="1"/>
  <c r="X104" i="1" s="1"/>
  <c r="X124" i="1" s="1"/>
  <c r="Q188" i="1"/>
  <c r="Q166" i="1" s="1"/>
  <c r="Q206" i="1" s="1"/>
  <c r="O188" i="1"/>
  <c r="BM148" i="1"/>
  <c r="BL147" i="1"/>
  <c r="BM147" i="1" s="1"/>
  <c r="BR217" i="1"/>
  <c r="BS217" i="1" s="1"/>
  <c r="BW217" i="1"/>
  <c r="BL195" i="1"/>
  <c r="BM195" i="1" s="1"/>
  <c r="BO195" i="1"/>
  <c r="Q236" i="1"/>
  <c r="U236" i="1" s="1"/>
  <c r="U237" i="1"/>
  <c r="Q266" i="1"/>
  <c r="R16" i="1"/>
  <c r="Q16" i="1" s="1"/>
  <c r="AP226" i="1"/>
  <c r="U226" i="1"/>
  <c r="BO266" i="1"/>
  <c r="BN16" i="1"/>
  <c r="BH31" i="1"/>
  <c r="AV32" i="1"/>
  <c r="BI32" i="1" s="1"/>
  <c r="BF32" i="1"/>
  <c r="BT32" i="1"/>
  <c r="N50" i="1"/>
  <c r="O49" i="1"/>
  <c r="N49" i="1" s="1"/>
  <c r="CH207" i="1"/>
  <c r="CH126" i="1"/>
  <c r="BM58" i="1"/>
  <c r="BL57" i="1"/>
  <c r="BS84" i="1"/>
  <c r="H124" i="1"/>
  <c r="N208" i="1"/>
  <c r="N274" i="1" s="1"/>
  <c r="N163" i="1"/>
  <c r="BG240" i="1"/>
  <c r="AZ240" i="1"/>
  <c r="BA240" i="1" s="1"/>
  <c r="BE240" i="1"/>
  <c r="BZ131" i="1"/>
  <c r="CA131" i="1" s="1"/>
  <c r="CC131" i="1"/>
  <c r="H90" i="1"/>
  <c r="I89" i="1"/>
  <c r="H89" i="1" s="1"/>
  <c r="BU130" i="1"/>
  <c r="BR130" i="1"/>
  <c r="BS130" i="1" s="1"/>
  <c r="AZ131" i="1"/>
  <c r="BC131" i="1"/>
  <c r="BC68" i="1"/>
  <c r="AZ68" i="1"/>
  <c r="BA68" i="1" s="1"/>
  <c r="BU78" i="1"/>
  <c r="BR78" i="1"/>
  <c r="BS78" i="1" s="1"/>
  <c r="CA78" i="1"/>
  <c r="AC136" i="1"/>
  <c r="Z136" i="1"/>
  <c r="BP173" i="1"/>
  <c r="BL173" i="1" s="1"/>
  <c r="BM173" i="1" s="1"/>
  <c r="BP168" i="1"/>
  <c r="BP167" i="1" s="1"/>
  <c r="BP166" i="1" s="1"/>
  <c r="BP206" i="1" s="1"/>
  <c r="AZ147" i="1"/>
  <c r="BA147" i="1" s="1"/>
  <c r="AM147" i="1"/>
  <c r="AL147" i="1"/>
  <c r="AC63" i="1"/>
  <c r="Z63" i="1"/>
  <c r="AA63" i="1" s="1"/>
  <c r="BE111" i="1"/>
  <c r="AZ111" i="1"/>
  <c r="BA111" i="1" s="1"/>
  <c r="BM133" i="1"/>
  <c r="BR109" i="1"/>
  <c r="BS109" i="1" s="1"/>
  <c r="BW109" i="1"/>
  <c r="BF188" i="1"/>
  <c r="AP11" i="1"/>
  <c r="AZ198" i="1"/>
  <c r="BA198" i="1" s="1"/>
  <c r="BC198" i="1"/>
  <c r="BQ226" i="1"/>
  <c r="AQ226" i="1"/>
  <c r="AY226" i="1"/>
  <c r="AT226" i="1"/>
  <c r="BD226" i="1"/>
  <c r="BG233" i="1"/>
  <c r="BG266" i="1"/>
  <c r="AK266" i="1"/>
  <c r="AL267" i="1"/>
  <c r="AM267" i="1"/>
  <c r="Z24" i="1"/>
  <c r="AA24" i="1" s="1"/>
  <c r="AC24" i="1"/>
  <c r="BU72" i="1"/>
  <c r="CA72" i="1"/>
  <c r="BR110" i="1"/>
  <c r="BS110" i="1" s="1"/>
  <c r="BW110" i="1"/>
  <c r="BR169" i="1"/>
  <c r="BU169" i="1"/>
  <c r="AZ97" i="1"/>
  <c r="BA97" i="1" s="1"/>
  <c r="BC97" i="1"/>
  <c r="BC163" i="1"/>
  <c r="BB11" i="1"/>
  <c r="BW151" i="1"/>
  <c r="BR151" i="1"/>
  <c r="BS151" i="1" s="1"/>
  <c r="BO53" i="1"/>
  <c r="BL53" i="1"/>
  <c r="BM53" i="1" s="1"/>
  <c r="AZ24" i="1"/>
  <c r="BA24" i="1" s="1"/>
  <c r="CE47" i="1"/>
  <c r="CD45" i="1"/>
  <c r="BZ47" i="1"/>
  <c r="CA47" i="1" s="1"/>
  <c r="AC90" i="1"/>
  <c r="Z90" i="1"/>
  <c r="AA90" i="1" s="1"/>
  <c r="BO145" i="1"/>
  <c r="BL145" i="1"/>
  <c r="BM145" i="1" s="1"/>
  <c r="BA143" i="1"/>
  <c r="AZ139" i="1"/>
  <c r="BA139" i="1" s="1"/>
  <c r="BI89" i="1"/>
  <c r="BF89" i="1"/>
  <c r="BZ206" i="1"/>
  <c r="BR155" i="1"/>
  <c r="BS155" i="1" s="1"/>
  <c r="BW155" i="1"/>
  <c r="AQ214" i="1"/>
  <c r="BO173" i="1"/>
  <c r="BG57" i="1"/>
  <c r="BL71" i="1"/>
  <c r="BM71" i="1" s="1"/>
  <c r="BO71" i="1"/>
  <c r="AZ42" i="1"/>
  <c r="BA44" i="1"/>
  <c r="R50" i="1"/>
  <c r="AC50" i="1" s="1"/>
  <c r="CJ273" i="1"/>
  <c r="CJ209" i="1"/>
  <c r="CJ271" i="1"/>
  <c r="AQ162" i="1"/>
  <c r="AS128" i="1"/>
  <c r="AR128" i="1"/>
  <c r="CD44" i="1"/>
  <c r="CE46" i="1"/>
  <c r="BZ46" i="1"/>
  <c r="CA46" i="1" s="1"/>
  <c r="AU107" i="1"/>
  <c r="AT105" i="1"/>
  <c r="AU105" i="1" s="1"/>
  <c r="AV208" i="1"/>
  <c r="AW163" i="1"/>
  <c r="BI163" i="1"/>
  <c r="AV11" i="1"/>
  <c r="BR138" i="1"/>
  <c r="BS138" i="1" s="1"/>
  <c r="BU138" i="1"/>
  <c r="BC167" i="1"/>
  <c r="BM172" i="1"/>
  <c r="BL169" i="1"/>
  <c r="BM169" i="1" s="1"/>
  <c r="BD128" i="1"/>
  <c r="BD122" i="1"/>
  <c r="BE129" i="1"/>
  <c r="AU276" i="1"/>
  <c r="BA170" i="1"/>
  <c r="AZ167" i="1"/>
  <c r="BR201" i="1"/>
  <c r="BS201" i="1" s="1"/>
  <c r="BU201" i="1"/>
  <c r="AZ230" i="1"/>
  <c r="BA230" i="1" s="1"/>
  <c r="BE230" i="1"/>
  <c r="Z223" i="1"/>
  <c r="AD16" i="1"/>
  <c r="AP233" i="1"/>
  <c r="U233" i="1"/>
  <c r="BQ266" i="1"/>
  <c r="BP16" i="1"/>
  <c r="BQ16" i="1" s="1"/>
  <c r="AZ243" i="1"/>
  <c r="BE259" i="1"/>
  <c r="BD15" i="1"/>
  <c r="BE15" i="1" s="1"/>
  <c r="W266" i="1"/>
  <c r="T266" i="1"/>
  <c r="BA53" i="1"/>
  <c r="U163" i="1"/>
  <c r="AZ63" i="1"/>
  <c r="BA63" i="1" s="1"/>
  <c r="BC63" i="1"/>
  <c r="BH82" i="1"/>
  <c r="AP54" i="1"/>
  <c r="AN53" i="1"/>
  <c r="AN24" i="1"/>
  <c r="AK54" i="1"/>
  <c r="AO54" i="1"/>
  <c r="BR42" i="1"/>
  <c r="BS42" i="1" s="1"/>
  <c r="BU42" i="1"/>
  <c r="BT41" i="1"/>
  <c r="BD210" i="1"/>
  <c r="AZ104" i="1"/>
  <c r="BE104" i="1"/>
  <c r="BY237" i="1"/>
  <c r="Z237" i="1"/>
  <c r="AA237" i="1" s="1"/>
  <c r="N268" i="1"/>
  <c r="O266" i="1"/>
  <c r="AZ266" i="1"/>
  <c r="BA266" i="1" s="1"/>
  <c r="BI35" i="1"/>
  <c r="BU68" i="1"/>
  <c r="BR68" i="1"/>
  <c r="BS68" i="1" s="1"/>
  <c r="CA68" i="1"/>
  <c r="I126" i="1"/>
  <c r="H126" i="1" s="1"/>
  <c r="BL74" i="1"/>
  <c r="BM74" i="1" s="1"/>
  <c r="BO74" i="1"/>
  <c r="P14" i="1"/>
  <c r="N14" i="1" s="1"/>
  <c r="P11" i="1"/>
  <c r="N11" i="1" s="1"/>
  <c r="P274" i="1"/>
  <c r="BE215" i="1"/>
  <c r="BD214" i="1"/>
  <c r="AZ215" i="1"/>
  <c r="BA215" i="1" s="1"/>
  <c r="BF129" i="1"/>
  <c r="BH128" i="1"/>
  <c r="BT129" i="1"/>
  <c r="AU94" i="1"/>
  <c r="BM94" i="1"/>
  <c r="BG94" i="1"/>
  <c r="O89" i="1"/>
  <c r="N90" i="1"/>
  <c r="V162" i="1"/>
  <c r="AU218" i="1"/>
  <c r="BM218" i="1"/>
  <c r="AA84" i="1"/>
  <c r="T162" i="1"/>
  <c r="AW189" i="1"/>
  <c r="AT189" i="1"/>
  <c r="AU189" i="1" s="1"/>
  <c r="AV188" i="1"/>
  <c r="AZ216" i="1"/>
  <c r="BA216" i="1" s="1"/>
  <c r="BE216" i="1"/>
  <c r="BD11" i="1"/>
  <c r="BE11" i="1" s="1"/>
  <c r="BD14" i="1"/>
  <c r="BD274" i="1"/>
  <c r="BE274" i="1" s="1"/>
  <c r="AU24" i="1"/>
  <c r="BG24" i="1"/>
  <c r="AC167" i="1"/>
  <c r="AB166" i="1"/>
  <c r="Z167" i="1"/>
  <c r="BS73" i="1"/>
  <c r="BR72" i="1"/>
  <c r="BS72" i="1" s="1"/>
  <c r="BO50" i="1"/>
  <c r="BN130" i="1"/>
  <c r="AV129" i="1"/>
  <c r="AW130" i="1"/>
  <c r="BY44" i="1"/>
  <c r="Z44" i="1"/>
  <c r="AA44" i="1" s="1"/>
  <c r="AD42" i="1"/>
  <c r="BC94" i="1"/>
  <c r="AZ94" i="1"/>
  <c r="BA94" i="1" s="1"/>
  <c r="BU144" i="1"/>
  <c r="BR144" i="1"/>
  <c r="BS144" i="1" s="1"/>
  <c r="BN41" i="1"/>
  <c r="BL42" i="1"/>
  <c r="BM42" i="1" s="1"/>
  <c r="BO42" i="1"/>
  <c r="Q136" i="1"/>
  <c r="AM136" i="1" s="1"/>
  <c r="BO193" i="1"/>
  <c r="BL193" i="1"/>
  <c r="BM193" i="1" s="1"/>
  <c r="AU138" i="1"/>
  <c r="BH206" i="1"/>
  <c r="BP14" i="1"/>
  <c r="BQ216" i="1"/>
  <c r="BP11" i="1"/>
  <c r="BQ11" i="1" s="1"/>
  <c r="BP274" i="1"/>
  <c r="BQ274" i="1" s="1"/>
  <c r="Z188" i="1"/>
  <c r="AA188" i="1" s="1"/>
  <c r="AC188" i="1"/>
  <c r="BY221" i="1"/>
  <c r="Z221" i="1"/>
  <c r="AA221" i="1" s="1"/>
  <c r="BC201" i="1"/>
  <c r="AZ201" i="1"/>
  <c r="BA201" i="1" s="1"/>
  <c r="BQ236" i="1"/>
  <c r="AY236" i="1"/>
  <c r="AT236" i="1"/>
  <c r="BD236" i="1"/>
  <c r="BY262" i="1"/>
  <c r="Z262" i="1"/>
  <c r="AA262" i="1" s="1"/>
  <c r="AO266" i="1"/>
  <c r="AP266" i="1"/>
  <c r="AN16" i="1"/>
  <c r="AI164" i="1"/>
  <c r="AH162" i="1"/>
  <c r="AH164" i="1" s="1"/>
  <c r="AI207" i="1"/>
  <c r="AI7" i="1"/>
  <c r="J207" i="1"/>
  <c r="AW49" i="1"/>
  <c r="AT49" i="1"/>
  <c r="AX126" i="1"/>
  <c r="Z208" i="1"/>
  <c r="AA137" i="1"/>
  <c r="Z163" i="1"/>
  <c r="AA163" i="1" s="1"/>
  <c r="BR276" i="1"/>
  <c r="BS276" i="1" s="1"/>
  <c r="BS142" i="1"/>
  <c r="BU163" i="1"/>
  <c r="BR163" i="1"/>
  <c r="BS163" i="1" s="1"/>
  <c r="BT11" i="1"/>
  <c r="AB130" i="1"/>
  <c r="R129" i="1"/>
  <c r="Q130" i="1"/>
  <c r="AP130" i="1"/>
  <c r="W130" i="1"/>
  <c r="AC132" i="1"/>
  <c r="Z132" i="1"/>
  <c r="AA132" i="1" s="1"/>
  <c r="BK215" i="1"/>
  <c r="BJ214" i="1"/>
  <c r="Y259" i="1"/>
  <c r="T259" i="1"/>
  <c r="U259" i="1" s="1"/>
  <c r="BU53" i="1"/>
  <c r="BR53" i="1"/>
  <c r="BS53" i="1" s="1"/>
  <c r="CA53" i="1"/>
  <c r="AZ50" i="1"/>
  <c r="P207" i="1"/>
  <c r="P126" i="1"/>
  <c r="K188" i="1"/>
  <c r="BK151" i="1"/>
  <c r="BF151" i="1"/>
  <c r="BG151" i="1" s="1"/>
  <c r="BP151" i="1"/>
  <c r="BF179" i="1"/>
  <c r="BG179" i="1" s="1"/>
  <c r="BG180" i="1"/>
  <c r="AU198" i="1"/>
  <c r="BM198" i="1"/>
  <c r="BG198" i="1"/>
  <c r="BI132" i="1"/>
  <c r="BU50" i="1"/>
  <c r="BR50" i="1"/>
  <c r="BT49" i="1"/>
  <c r="CA49" i="1" s="1"/>
  <c r="BB25" i="1"/>
  <c r="AZ37" i="1"/>
  <c r="BC37" i="1"/>
  <c r="BJ105" i="1"/>
  <c r="BF105" i="1" s="1"/>
  <c r="BJ104" i="1"/>
  <c r="BK107" i="1"/>
  <c r="BF107" i="1"/>
  <c r="BG107" i="1" s="1"/>
  <c r="BV107" i="1"/>
  <c r="BW215" i="1"/>
  <c r="BR215" i="1"/>
  <c r="BS215" i="1" s="1"/>
  <c r="BV214" i="1"/>
  <c r="AU230" i="1"/>
  <c r="BM230" i="1"/>
  <c r="AO201" i="1"/>
  <c r="AK201" i="1"/>
  <c r="AN188" i="1"/>
  <c r="AP201" i="1"/>
  <c r="AH53" i="1"/>
  <c r="AI50" i="1"/>
  <c r="U167" i="1"/>
  <c r="T166" i="1"/>
  <c r="CB130" i="1"/>
  <c r="BV129" i="1"/>
  <c r="BR111" i="1"/>
  <c r="BS111" i="1" s="1"/>
  <c r="BW111" i="1"/>
  <c r="AU131" i="1"/>
  <c r="AT130" i="1"/>
  <c r="AU130" i="1" s="1"/>
  <c r="T105" i="1"/>
  <c r="AN162" i="1"/>
  <c r="AO128" i="1"/>
  <c r="S210" i="1"/>
  <c r="AD104" i="1"/>
  <c r="Q104" i="1"/>
  <c r="Q210" i="1" s="1"/>
  <c r="AU97" i="1"/>
  <c r="BG97" i="1"/>
  <c r="BM97" i="1"/>
  <c r="BA39" i="1"/>
  <c r="AZ38" i="1"/>
  <c r="BA38" i="1" s="1"/>
  <c r="Z108" i="1"/>
  <c r="AD105" i="1"/>
  <c r="BL139" i="1"/>
  <c r="BM139" i="1" s="1"/>
  <c r="BU170" i="1"/>
  <c r="BR170" i="1"/>
  <c r="BS170" i="1" s="1"/>
  <c r="BG189" i="1"/>
  <c r="BR240" i="1"/>
  <c r="BS240" i="1" s="1"/>
  <c r="BW240" i="1"/>
  <c r="BV236" i="1"/>
  <c r="U188" i="1"/>
  <c r="BC259" i="1"/>
  <c r="AZ259" i="1"/>
  <c r="BA259" i="1" s="1"/>
  <c r="BB15" i="1"/>
  <c r="Q213" i="1"/>
  <c r="Q217" i="1"/>
  <c r="BL240" i="1"/>
  <c r="BM240" i="1" s="1"/>
  <c r="BQ240" i="1"/>
  <c r="Z215" i="1"/>
  <c r="AA215" i="1" s="1"/>
  <c r="BY215" i="1"/>
  <c r="AD214" i="1"/>
  <c r="BI16" i="1"/>
  <c r="BF16" i="1"/>
  <c r="BG16" i="1" s="1"/>
  <c r="BF236" i="1"/>
  <c r="BK236" i="1"/>
  <c r="BM63" i="1"/>
  <c r="BA138" i="1"/>
  <c r="BB189" i="1"/>
  <c r="AL25" i="1"/>
  <c r="AM25" i="1"/>
  <c r="AB274" i="1"/>
  <c r="AC274" i="1" s="1"/>
  <c r="AC208" i="1"/>
  <c r="E162" i="1"/>
  <c r="F164" i="1"/>
  <c r="AM132" i="1"/>
  <c r="U132" i="1"/>
  <c r="BJ226" i="1"/>
  <c r="BF227" i="1"/>
  <c r="BG227" i="1" s="1"/>
  <c r="BH49" i="1"/>
  <c r="BI50" i="1"/>
  <c r="BQ129" i="1"/>
  <c r="BP128" i="1"/>
  <c r="BQ128" i="1" s="1"/>
  <c r="BU24" i="1"/>
  <c r="BA85" i="1"/>
  <c r="AZ84" i="1"/>
  <c r="K89" i="1"/>
  <c r="K82" i="1" s="1"/>
  <c r="AB89" i="1"/>
  <c r="L82" i="1"/>
  <c r="AB82" i="1" s="1"/>
  <c r="AC82" i="1" s="1"/>
  <c r="BN144" i="1"/>
  <c r="AW144" i="1"/>
  <c r="BI144" i="1"/>
  <c r="AA148" i="1"/>
  <c r="Z147" i="1"/>
  <c r="AA147" i="1" s="1"/>
  <c r="BB50" i="1"/>
  <c r="P13" i="1"/>
  <c r="BR188" i="1"/>
  <c r="BS188" i="1" s="1"/>
  <c r="BU188" i="1"/>
  <c r="CA188" i="1"/>
  <c r="AM215" i="1"/>
  <c r="BG58" i="1"/>
  <c r="BN89" i="1"/>
  <c r="BO90" i="1"/>
  <c r="BL90" i="1"/>
  <c r="BM90" i="1" s="1"/>
  <c r="BG132" i="1"/>
  <c r="Z50" i="1"/>
  <c r="X162" i="1"/>
  <c r="Y128" i="1"/>
  <c r="CE128" i="1" s="1"/>
  <c r="BA34" i="1"/>
  <c r="H32" i="1"/>
  <c r="I31" i="1"/>
  <c r="H31" i="1" s="1"/>
  <c r="T82" i="1"/>
  <c r="U82" i="1" s="1"/>
  <c r="U84" i="1"/>
  <c r="Z144" i="1"/>
  <c r="AA144" i="1" s="1"/>
  <c r="AC144" i="1"/>
  <c r="AX210" i="1"/>
  <c r="AY104" i="1"/>
  <c r="AT104" i="1"/>
  <c r="AT163" i="1"/>
  <c r="AU137" i="1"/>
  <c r="BG137" i="1"/>
  <c r="BT136" i="1"/>
  <c r="L128" i="1"/>
  <c r="AU147" i="1"/>
  <c r="BG147" i="1"/>
  <c r="K166" i="1"/>
  <c r="K206" i="1" s="1"/>
  <c r="I188" i="1"/>
  <c r="H189" i="1"/>
  <c r="H163" i="1"/>
  <c r="H208" i="1" s="1"/>
  <c r="H274" i="1" s="1"/>
  <c r="H136" i="1"/>
  <c r="BT167" i="1"/>
  <c r="BN189" i="1"/>
  <c r="V206" i="1"/>
  <c r="W206" i="1" s="1"/>
  <c r="W166" i="1"/>
  <c r="AS230" i="1"/>
  <c r="AK230" i="1"/>
  <c r="AM230" i="1" s="1"/>
  <c r="BO170" i="1"/>
  <c r="BL170" i="1"/>
  <c r="BM170" i="1" s="1"/>
  <c r="AD226" i="1"/>
  <c r="Z227" i="1"/>
  <c r="AA227" i="1" s="1"/>
  <c r="BY227" i="1"/>
  <c r="AU37" i="1"/>
  <c r="AT25" i="1"/>
  <c r="AU90" i="1"/>
  <c r="T274" i="1"/>
  <c r="U274" i="1" s="1"/>
  <c r="U208" i="1"/>
  <c r="BY129" i="1"/>
  <c r="AD128" i="1"/>
  <c r="AU195" i="1"/>
  <c r="BG195" i="1"/>
  <c r="AD236" i="1"/>
  <c r="Y236" i="1"/>
  <c r="AR166" i="1"/>
  <c r="AQ206" i="1"/>
  <c r="AR206" i="1" s="1"/>
  <c r="AM244" i="1"/>
  <c r="AK243" i="1"/>
  <c r="AM243" i="1" s="1"/>
  <c r="AR244" i="1"/>
  <c r="AC268" i="1"/>
  <c r="Z268" i="1"/>
  <c r="AA268" i="1" s="1"/>
  <c r="F207" i="1"/>
  <c r="AM41" i="1"/>
  <c r="AL41" i="1"/>
  <c r="BA92" i="1"/>
  <c r="AZ90" i="1"/>
  <c r="U230" i="1"/>
  <c r="BL111" i="1"/>
  <c r="BM111" i="1" s="1"/>
  <c r="BQ111" i="1"/>
  <c r="AL167" i="1"/>
  <c r="AM167" i="1"/>
  <c r="CB208" i="1"/>
  <c r="CB274" i="1" s="1"/>
  <c r="CB163" i="1"/>
  <c r="CC137" i="1"/>
  <c r="BZ137" i="1"/>
  <c r="AZ157" i="1"/>
  <c r="BA157" i="1" s="1"/>
  <c r="BA158" i="1"/>
  <c r="AK240" i="1"/>
  <c r="AM240" i="1" s="1"/>
  <c r="AS240" i="1"/>
  <c r="AQ236" i="1"/>
  <c r="U218" i="1"/>
  <c r="AP218" i="1"/>
  <c r="AZ144" i="1"/>
  <c r="BA144" i="1" s="1"/>
  <c r="BA145" i="1"/>
  <c r="BP214" i="1"/>
  <c r="AP215" i="1" l="1"/>
  <c r="BR218" i="1"/>
  <c r="BS218" i="1" s="1"/>
  <c r="Y214" i="1"/>
  <c r="BG236" i="1"/>
  <c r="P217" i="1"/>
  <c r="BF11" i="1"/>
  <c r="Q277" i="1"/>
  <c r="N213" i="1"/>
  <c r="N277" i="1" s="1"/>
  <c r="X217" i="1"/>
  <c r="Y217" i="1" s="1"/>
  <c r="T214" i="1"/>
  <c r="U214" i="1" s="1"/>
  <c r="Z157" i="1"/>
  <c r="AA157" i="1" s="1"/>
  <c r="AC157" i="1"/>
  <c r="AG273" i="1"/>
  <c r="AG271" i="1"/>
  <c r="AG209" i="1"/>
  <c r="AG275" i="1" s="1"/>
  <c r="AF271" i="1"/>
  <c r="AE207" i="1"/>
  <c r="AE271" i="1" s="1"/>
  <c r="AF273" i="1"/>
  <c r="AA136" i="1"/>
  <c r="H128" i="1"/>
  <c r="S126" i="1"/>
  <c r="S207" i="1"/>
  <c r="S271" i="1" s="1"/>
  <c r="BQ116" i="1"/>
  <c r="BL116" i="1"/>
  <c r="BM116" i="1" s="1"/>
  <c r="BW116" i="1"/>
  <c r="BR116" i="1"/>
  <c r="BS116" i="1" s="1"/>
  <c r="BG63" i="1"/>
  <c r="BR57" i="1"/>
  <c r="BS57" i="1" s="1"/>
  <c r="BS58" i="1"/>
  <c r="K52" i="1"/>
  <c r="M50" i="1"/>
  <c r="BN49" i="1"/>
  <c r="AC25" i="1"/>
  <c r="Z25" i="1"/>
  <c r="AA25" i="1" s="1"/>
  <c r="AB41" i="1"/>
  <c r="AC41" i="1" s="1"/>
  <c r="V26" i="1"/>
  <c r="W41" i="1"/>
  <c r="U42" i="1"/>
  <c r="T41" i="1"/>
  <c r="U41" i="1" s="1"/>
  <c r="BG89" i="1"/>
  <c r="BM57" i="1"/>
  <c r="U136" i="1"/>
  <c r="BG130" i="1"/>
  <c r="BC130" i="1"/>
  <c r="BB129" i="1"/>
  <c r="AK236" i="1"/>
  <c r="AM236" i="1" s="1"/>
  <c r="AS236" i="1"/>
  <c r="AD162" i="1"/>
  <c r="BY128" i="1"/>
  <c r="T206" i="1"/>
  <c r="U206" i="1" s="1"/>
  <c r="U166" i="1"/>
  <c r="BA37" i="1"/>
  <c r="AZ25" i="1"/>
  <c r="BA25" i="1" s="1"/>
  <c r="BE14" i="1"/>
  <c r="AZ14" i="1"/>
  <c r="BA14" i="1" s="1"/>
  <c r="T164" i="1"/>
  <c r="N89" i="1"/>
  <c r="N82" i="1" s="1"/>
  <c r="O82" i="1"/>
  <c r="AZ210" i="1"/>
  <c r="BA104" i="1"/>
  <c r="AP53" i="1"/>
  <c r="AN50" i="1"/>
  <c r="AK53" i="1"/>
  <c r="AO53" i="1"/>
  <c r="BD162" i="1"/>
  <c r="BE128" i="1"/>
  <c r="AS214" i="1"/>
  <c r="AK214" i="1"/>
  <c r="AM214" i="1" s="1"/>
  <c r="AU226" i="1"/>
  <c r="BM226" i="1"/>
  <c r="BG188" i="1"/>
  <c r="BC136" i="1"/>
  <c r="AZ136" i="1"/>
  <c r="BA136" i="1" s="1"/>
  <c r="AY259" i="1"/>
  <c r="AT259" i="1"/>
  <c r="AX15" i="1"/>
  <c r="BP210" i="1"/>
  <c r="BL104" i="1"/>
  <c r="BQ104" i="1"/>
  <c r="BP124" i="1"/>
  <c r="BY226" i="1"/>
  <c r="Z226" i="1"/>
  <c r="AA226" i="1" s="1"/>
  <c r="BT166" i="1"/>
  <c r="BU167" i="1"/>
  <c r="CA167" i="1"/>
  <c r="L162" i="1"/>
  <c r="K128" i="1"/>
  <c r="X164" i="1"/>
  <c r="Y164" i="1" s="1"/>
  <c r="Y162" i="1"/>
  <c r="AC89" i="1"/>
  <c r="Z89" i="1"/>
  <c r="BI49" i="1"/>
  <c r="BF49" i="1"/>
  <c r="BG49" i="1" s="1"/>
  <c r="AD210" i="1"/>
  <c r="BY104" i="1"/>
  <c r="Z104" i="1"/>
  <c r="BC25" i="1"/>
  <c r="BU25" i="1"/>
  <c r="R128" i="1"/>
  <c r="Q129" i="1"/>
  <c r="AB129" i="1"/>
  <c r="W129" i="1"/>
  <c r="AP129" i="1"/>
  <c r="BQ14" i="1"/>
  <c r="BL14" i="1"/>
  <c r="BM14" i="1" s="1"/>
  <c r="BE210" i="1"/>
  <c r="BD13" i="1"/>
  <c r="U112" i="1"/>
  <c r="U111" i="1" s="1"/>
  <c r="T111" i="1"/>
  <c r="AC266" i="1"/>
  <c r="Z266" i="1"/>
  <c r="AA266" i="1" s="1"/>
  <c r="AW82" i="1"/>
  <c r="AU136" i="1"/>
  <c r="BG136" i="1"/>
  <c r="AU192" i="1"/>
  <c r="BG192" i="1"/>
  <c r="BM192" i="1"/>
  <c r="BO132" i="1"/>
  <c r="BL132" i="1"/>
  <c r="BM132" i="1" s="1"/>
  <c r="BF177" i="1"/>
  <c r="BV177" i="1"/>
  <c r="CC177" i="1" s="1"/>
  <c r="BJ176" i="1"/>
  <c r="AY162" i="1"/>
  <c r="BP162" i="1"/>
  <c r="BQ162" i="1" s="1"/>
  <c r="AX164" i="1"/>
  <c r="AZ89" i="1"/>
  <c r="BA89" i="1" s="1"/>
  <c r="BA90" i="1"/>
  <c r="BR136" i="1"/>
  <c r="BS136" i="1" s="1"/>
  <c r="BU136" i="1"/>
  <c r="P277" i="1"/>
  <c r="AZ15" i="1"/>
  <c r="BA15" i="1" s="1"/>
  <c r="BC15" i="1"/>
  <c r="S277" i="1"/>
  <c r="S13" i="1"/>
  <c r="BV128" i="1"/>
  <c r="BV162" i="1" s="1"/>
  <c r="CB129" i="1"/>
  <c r="AP188" i="1"/>
  <c r="AK188" i="1"/>
  <c r="AO188" i="1"/>
  <c r="AN166" i="1"/>
  <c r="BV104" i="1"/>
  <c r="BW107" i="1"/>
  <c r="BV105" i="1"/>
  <c r="BR107" i="1"/>
  <c r="BS107" i="1" s="1"/>
  <c r="BR49" i="1"/>
  <c r="BU49" i="1"/>
  <c r="P273" i="1"/>
  <c r="P271" i="1"/>
  <c r="P209" i="1"/>
  <c r="P9" i="1"/>
  <c r="BQ214" i="1"/>
  <c r="BL214" i="1"/>
  <c r="BM214" i="1" s="1"/>
  <c r="BP213" i="1"/>
  <c r="BQ213" i="1" s="1"/>
  <c r="BP217" i="1"/>
  <c r="Z236" i="1"/>
  <c r="AA236" i="1" s="1"/>
  <c r="BY236" i="1"/>
  <c r="BO89" i="1"/>
  <c r="BL89" i="1"/>
  <c r="BN82" i="1"/>
  <c r="BO82" i="1" s="1"/>
  <c r="BB49" i="1"/>
  <c r="BC49" i="1" s="1"/>
  <c r="BC50" i="1"/>
  <c r="BO144" i="1"/>
  <c r="BL144" i="1"/>
  <c r="BM144" i="1" s="1"/>
  <c r="BA84" i="1"/>
  <c r="BF226" i="1"/>
  <c r="BG226" i="1" s="1"/>
  <c r="BK226" i="1"/>
  <c r="E164" i="1"/>
  <c r="E207" i="1"/>
  <c r="AD213" i="1"/>
  <c r="BY213" i="1" s="1"/>
  <c r="BY214" i="1"/>
  <c r="Z214" i="1"/>
  <c r="O26" i="1"/>
  <c r="CC130" i="1"/>
  <c r="BZ130" i="1"/>
  <c r="CA130" i="1" s="1"/>
  <c r="AH50" i="1"/>
  <c r="AI49" i="1"/>
  <c r="AH49" i="1" s="1"/>
  <c r="AL201" i="1"/>
  <c r="AM201" i="1"/>
  <c r="BW214" i="1"/>
  <c r="BR214" i="1"/>
  <c r="BS214" i="1" s="1"/>
  <c r="BV213" i="1"/>
  <c r="BQ151" i="1"/>
  <c r="BL151" i="1"/>
  <c r="BM151" i="1" s="1"/>
  <c r="AZ49" i="1"/>
  <c r="BU11" i="1"/>
  <c r="BR11" i="1"/>
  <c r="BS11" i="1" s="1"/>
  <c r="AI273" i="1"/>
  <c r="AI271" i="1"/>
  <c r="AI209" i="1"/>
  <c r="AI275" i="1" s="1"/>
  <c r="AZ236" i="1"/>
  <c r="BA236" i="1" s="1"/>
  <c r="BE236" i="1"/>
  <c r="AD41" i="1"/>
  <c r="BY42" i="1"/>
  <c r="Z42" i="1"/>
  <c r="AA42" i="1" s="1"/>
  <c r="AW129" i="1"/>
  <c r="AV128" i="1"/>
  <c r="BI128" i="1" s="1"/>
  <c r="AT129" i="1"/>
  <c r="AU129" i="1" s="1"/>
  <c r="X207" i="1"/>
  <c r="X126" i="1"/>
  <c r="Y126" i="1" s="1"/>
  <c r="X7" i="1"/>
  <c r="AB206" i="1"/>
  <c r="AC206" i="1" s="1"/>
  <c r="AC166" i="1"/>
  <c r="BI129" i="1"/>
  <c r="BE214" i="1"/>
  <c r="AZ214" i="1"/>
  <c r="BD213" i="1"/>
  <c r="BE213" i="1" s="1"/>
  <c r="BD217" i="1"/>
  <c r="BE217" i="1" s="1"/>
  <c r="N266" i="1"/>
  <c r="O16" i="1"/>
  <c r="N16" i="1" s="1"/>
  <c r="AO24" i="1"/>
  <c r="AP24" i="1"/>
  <c r="U266" i="1"/>
  <c r="BA167" i="1"/>
  <c r="BE122" i="1"/>
  <c r="AZ122" i="1"/>
  <c r="BA122" i="1" s="1"/>
  <c r="AW11" i="1"/>
  <c r="AT11" i="1"/>
  <c r="AU11" i="1" s="1"/>
  <c r="BI11" i="1"/>
  <c r="CE44" i="1"/>
  <c r="CD42" i="1"/>
  <c r="BZ44" i="1"/>
  <c r="CA44" i="1" s="1"/>
  <c r="CE45" i="1"/>
  <c r="CD43" i="1"/>
  <c r="BZ45" i="1"/>
  <c r="CA45" i="1" s="1"/>
  <c r="BS169" i="1"/>
  <c r="BR167" i="1"/>
  <c r="BS167" i="1" s="1"/>
  <c r="AZ226" i="1"/>
  <c r="BA226" i="1" s="1"/>
  <c r="BE226" i="1"/>
  <c r="BD124" i="1"/>
  <c r="CH273" i="1"/>
  <c r="CH271" i="1"/>
  <c r="CH209" i="1"/>
  <c r="BO16" i="1"/>
  <c r="BL16" i="1"/>
  <c r="BM16" i="1" s="1"/>
  <c r="X210" i="1"/>
  <c r="T104" i="1"/>
  <c r="Y104" i="1"/>
  <c r="Y124" i="1" s="1"/>
  <c r="BF82" i="1"/>
  <c r="BL25" i="1"/>
  <c r="BM25" i="1" s="1"/>
  <c r="BO25" i="1"/>
  <c r="BL208" i="1"/>
  <c r="BL163" i="1"/>
  <c r="BM163" i="1" s="1"/>
  <c r="BM137" i="1"/>
  <c r="BL136" i="1"/>
  <c r="BM136" i="1" s="1"/>
  <c r="BB274" i="1"/>
  <c r="BC274" i="1" s="1"/>
  <c r="BC208" i="1"/>
  <c r="AL82" i="1"/>
  <c r="AU35" i="1"/>
  <c r="AT32" i="1"/>
  <c r="AU32" i="1" s="1"/>
  <c r="AU89" i="1"/>
  <c r="AT82" i="1"/>
  <c r="AU82" i="1" s="1"/>
  <c r="AM107" i="1"/>
  <c r="AK105" i="1"/>
  <c r="AZ16" i="1"/>
  <c r="BA16" i="1" s="1"/>
  <c r="AT217" i="1"/>
  <c r="AU217" i="1" s="1"/>
  <c r="AU214" i="1"/>
  <c r="BR274" i="1"/>
  <c r="BS274" i="1" s="1"/>
  <c r="BS208" i="1"/>
  <c r="N129" i="1"/>
  <c r="N128" i="1" s="1"/>
  <c r="O128" i="1"/>
  <c r="O162" i="1" s="1"/>
  <c r="AZ264" i="1"/>
  <c r="BA264" i="1" s="1"/>
  <c r="BE264" i="1"/>
  <c r="BF166" i="1"/>
  <c r="BL189" i="1"/>
  <c r="BM189" i="1" s="1"/>
  <c r="BO189" i="1"/>
  <c r="AX277" i="1"/>
  <c r="AY277" i="1" s="1"/>
  <c r="AY210" i="1"/>
  <c r="AX13" i="1"/>
  <c r="BC189" i="1"/>
  <c r="AM130" i="1"/>
  <c r="U130" i="1"/>
  <c r="AU236" i="1"/>
  <c r="BM236" i="1"/>
  <c r="BO130" i="1"/>
  <c r="BL130" i="1"/>
  <c r="BM130" i="1" s="1"/>
  <c r="BN129" i="1"/>
  <c r="BN188" i="1"/>
  <c r="AT188" i="1"/>
  <c r="AW188" i="1"/>
  <c r="AV166" i="1"/>
  <c r="BH162" i="1"/>
  <c r="R49" i="1"/>
  <c r="Q50" i="1"/>
  <c r="U50" i="1" s="1"/>
  <c r="W50" i="1"/>
  <c r="AL266" i="1"/>
  <c r="AM266" i="1"/>
  <c r="BN32" i="1"/>
  <c r="AV31" i="1"/>
  <c r="AW32" i="1"/>
  <c r="AD111" i="1"/>
  <c r="Z112" i="1"/>
  <c r="BC89" i="1"/>
  <c r="BB82" i="1"/>
  <c r="BC82" i="1" s="1"/>
  <c r="BK162" i="1"/>
  <c r="BJ164" i="1"/>
  <c r="AQ210" i="1"/>
  <c r="AS104" i="1"/>
  <c r="AS124" i="1" s="1"/>
  <c r="AS126" i="1" s="1"/>
  <c r="AJ104" i="1"/>
  <c r="AR104" i="1" s="1"/>
  <c r="AR124" i="1" s="1"/>
  <c r="AK104" i="1"/>
  <c r="AQ124" i="1"/>
  <c r="L20" i="1"/>
  <c r="L124" i="1" s="1"/>
  <c r="AZ132" i="1"/>
  <c r="BA132" i="1" s="1"/>
  <c r="BC132" i="1"/>
  <c r="AK162" i="1"/>
  <c r="AL128" i="1"/>
  <c r="BZ208" i="1"/>
  <c r="BZ274" i="1" s="1"/>
  <c r="CA137" i="1"/>
  <c r="BZ163" i="1"/>
  <c r="AU25" i="1"/>
  <c r="BG25" i="1"/>
  <c r="H188" i="1"/>
  <c r="H166" i="1" s="1"/>
  <c r="H206" i="1" s="1"/>
  <c r="I166" i="1"/>
  <c r="I206" i="1" s="1"/>
  <c r="I207" i="1" s="1"/>
  <c r="AT208" i="1"/>
  <c r="AU163" i="1"/>
  <c r="BG163" i="1"/>
  <c r="N13" i="1"/>
  <c r="P12" i="1"/>
  <c r="N12" i="1" s="1"/>
  <c r="AN164" i="1"/>
  <c r="AO162" i="1"/>
  <c r="BJ210" i="1"/>
  <c r="BK104" i="1"/>
  <c r="BF104" i="1"/>
  <c r="BJ124" i="1"/>
  <c r="J273" i="1"/>
  <c r="J275" i="1" s="1"/>
  <c r="J271" i="1"/>
  <c r="J279" i="1" s="1"/>
  <c r="J209" i="1"/>
  <c r="BL49" i="1"/>
  <c r="BM49" i="1" s="1"/>
  <c r="BO49" i="1"/>
  <c r="H162" i="1"/>
  <c r="H164" i="1" s="1"/>
  <c r="I164" i="1"/>
  <c r="BG129" i="1"/>
  <c r="BF128" i="1"/>
  <c r="BI188" i="1"/>
  <c r="N188" i="1"/>
  <c r="O166" i="1"/>
  <c r="BO163" i="1"/>
  <c r="BN11" i="1"/>
  <c r="BO35" i="1"/>
  <c r="BL35" i="1"/>
  <c r="BM35" i="1" s="1"/>
  <c r="CB126" i="1"/>
  <c r="BN166" i="1"/>
  <c r="BO167" i="1"/>
  <c r="BL167" i="1"/>
  <c r="CC208" i="1"/>
  <c r="CC274" i="1" s="1"/>
  <c r="CC163" i="1"/>
  <c r="F273" i="1"/>
  <c r="F275" i="1" s="1"/>
  <c r="F271" i="1"/>
  <c r="F209" i="1"/>
  <c r="E209" i="1" s="1"/>
  <c r="AT210" i="1"/>
  <c r="AU104" i="1"/>
  <c r="BW236" i="1"/>
  <c r="BR236" i="1"/>
  <c r="BS236" i="1" s="1"/>
  <c r="AA108" i="1"/>
  <c r="Z105" i="1"/>
  <c r="BB188" i="1"/>
  <c r="BK214" i="1"/>
  <c r="BF214" i="1"/>
  <c r="BJ213" i="1"/>
  <c r="BK213" i="1" s="1"/>
  <c r="BJ217" i="1"/>
  <c r="BK217" i="1" s="1"/>
  <c r="AC130" i="1"/>
  <c r="Z130" i="1"/>
  <c r="AA130" i="1" s="1"/>
  <c r="Z274" i="1"/>
  <c r="AA274" i="1" s="1"/>
  <c r="AA208" i="1"/>
  <c r="AP16" i="1"/>
  <c r="AK16" i="1"/>
  <c r="AM16" i="1" s="1"/>
  <c r="BL41" i="1"/>
  <c r="BM41" i="1" s="1"/>
  <c r="BO41" i="1"/>
  <c r="AA167" i="1"/>
  <c r="Z166" i="1"/>
  <c r="V164" i="1"/>
  <c r="BT128" i="1"/>
  <c r="BU128" i="1" s="1"/>
  <c r="BR129" i="1"/>
  <c r="BU129" i="1"/>
  <c r="BR41" i="1"/>
  <c r="BS41" i="1" s="1"/>
  <c r="BU41" i="1"/>
  <c r="AM54" i="1"/>
  <c r="AL54" i="1"/>
  <c r="AK24" i="1"/>
  <c r="BI82" i="1"/>
  <c r="AA223" i="1"/>
  <c r="AA16" i="1" s="1"/>
  <c r="Z16" i="1"/>
  <c r="AV274" i="1"/>
  <c r="AW208" i="1"/>
  <c r="BI208" i="1"/>
  <c r="AQ164" i="1"/>
  <c r="AR162" i="1"/>
  <c r="AS162" i="1"/>
  <c r="AZ41" i="1"/>
  <c r="BA41" i="1" s="1"/>
  <c r="BA42" i="1"/>
  <c r="AZ11" i="1"/>
  <c r="BA11" i="1" s="1"/>
  <c r="BC11" i="1"/>
  <c r="AS226" i="1"/>
  <c r="AK226" i="1"/>
  <c r="AM226" i="1" s="1"/>
  <c r="AQ217" i="1"/>
  <c r="BA131" i="1"/>
  <c r="BT31" i="1"/>
  <c r="BR32" i="1"/>
  <c r="BS32" i="1" s="1"/>
  <c r="BU32" i="1"/>
  <c r="CA32" i="1"/>
  <c r="BI31" i="1"/>
  <c r="BH26" i="1"/>
  <c r="BF31" i="1"/>
  <c r="BN274" i="1"/>
  <c r="BO208" i="1"/>
  <c r="BA137" i="1"/>
  <c r="AZ163" i="1"/>
  <c r="BA163" i="1" s="1"/>
  <c r="AZ208" i="1"/>
  <c r="BC35" i="1"/>
  <c r="AZ35" i="1"/>
  <c r="BB32" i="1"/>
  <c r="AR243" i="1"/>
  <c r="BD191" i="1"/>
  <c r="AZ191" i="1" s="1"/>
  <c r="BA191" i="1" s="1"/>
  <c r="AX190" i="1"/>
  <c r="AT191" i="1"/>
  <c r="Z49" i="1"/>
  <c r="AY213" i="1"/>
  <c r="AT213" i="1"/>
  <c r="AU213" i="1" s="1"/>
  <c r="AU144" i="1"/>
  <c r="BG144" i="1"/>
  <c r="BU89" i="1"/>
  <c r="BR89" i="1"/>
  <c r="CA89" i="1"/>
  <c r="BT82" i="1"/>
  <c r="BF264" i="1"/>
  <c r="BG264" i="1" s="1"/>
  <c r="BJ259" i="1"/>
  <c r="BQ105" i="1"/>
  <c r="BL105" i="1"/>
  <c r="AD217" i="1" l="1"/>
  <c r="Z217" i="1" s="1"/>
  <c r="AA217" i="1" s="1"/>
  <c r="T217" i="1"/>
  <c r="AP217" i="1" s="1"/>
  <c r="T213" i="1"/>
  <c r="U213" i="1" s="1"/>
  <c r="BD277" i="1"/>
  <c r="BE277" i="1" s="1"/>
  <c r="BG11" i="1"/>
  <c r="AP214" i="1"/>
  <c r="AF279" i="1"/>
  <c r="AF280" i="1" s="1"/>
  <c r="AE273" i="1"/>
  <c r="AE279" i="1" s="1"/>
  <c r="AE280" i="1" s="1"/>
  <c r="AE209" i="1"/>
  <c r="AE275" i="1" s="1"/>
  <c r="AG279" i="1"/>
  <c r="AG280" i="1" s="1"/>
  <c r="S9" i="1"/>
  <c r="BK164" i="1"/>
  <c r="S209" i="1"/>
  <c r="S10" i="1" s="1"/>
  <c r="S273" i="1"/>
  <c r="S279" i="1" s="1"/>
  <c r="S280" i="1" s="1"/>
  <c r="AZ82" i="1"/>
  <c r="BA82" i="1" s="1"/>
  <c r="M49" i="1"/>
  <c r="K50" i="1"/>
  <c r="BA52" i="1"/>
  <c r="BS52" i="1"/>
  <c r="AU52" i="1"/>
  <c r="AB26" i="1"/>
  <c r="AB20" i="1" s="1"/>
  <c r="T26" i="1"/>
  <c r="V20" i="1"/>
  <c r="BG32" i="1"/>
  <c r="AI279" i="1"/>
  <c r="AI280" i="1" s="1"/>
  <c r="BC32" i="1"/>
  <c r="BB31" i="1"/>
  <c r="AT277" i="1"/>
  <c r="AU277" i="1" s="1"/>
  <c r="AU210" i="1"/>
  <c r="BF210" i="1"/>
  <c r="BG104" i="1"/>
  <c r="CA208" i="1"/>
  <c r="CA274" i="1" s="1"/>
  <c r="CA163" i="1"/>
  <c r="BO129" i="1"/>
  <c r="BL129" i="1"/>
  <c r="BM129" i="1" s="1"/>
  <c r="BN128" i="1"/>
  <c r="O164" i="1"/>
  <c r="N162" i="1"/>
  <c r="N164" i="1" s="1"/>
  <c r="BD126" i="1"/>
  <c r="BM89" i="1"/>
  <c r="BL82" i="1"/>
  <c r="BM82" i="1" s="1"/>
  <c r="P279" i="1"/>
  <c r="P280" i="1" s="1"/>
  <c r="AN206" i="1"/>
  <c r="AO166" i="1"/>
  <c r="AK166" i="1"/>
  <c r="AP166" i="1"/>
  <c r="BT206" i="1"/>
  <c r="BU166" i="1"/>
  <c r="BR166" i="1"/>
  <c r="CA166" i="1"/>
  <c r="AU259" i="1"/>
  <c r="BM259" i="1"/>
  <c r="BF26" i="1"/>
  <c r="BH20" i="1"/>
  <c r="AW274" i="1"/>
  <c r="BI274" i="1"/>
  <c r="BM167" i="1"/>
  <c r="AO164" i="1"/>
  <c r="AR126" i="1"/>
  <c r="Q49" i="1"/>
  <c r="U49" i="1" s="1"/>
  <c r="R26" i="1"/>
  <c r="W49" i="1"/>
  <c r="BF206" i="1"/>
  <c r="BG166" i="1"/>
  <c r="X273" i="1"/>
  <c r="X271" i="1"/>
  <c r="X209" i="1"/>
  <c r="Y207" i="1"/>
  <c r="BY217" i="1"/>
  <c r="E271" i="1"/>
  <c r="E273" i="1"/>
  <c r="E275" i="1" s="1"/>
  <c r="BW105" i="1"/>
  <c r="BR105" i="1"/>
  <c r="BS105" i="1" s="1"/>
  <c r="H207" i="1"/>
  <c r="K162" i="1"/>
  <c r="K164" i="1" s="1"/>
  <c r="L164" i="1"/>
  <c r="BT162" i="1"/>
  <c r="BL210" i="1"/>
  <c r="BM104" i="1"/>
  <c r="BA210" i="1"/>
  <c r="BR31" i="1"/>
  <c r="BS31" i="1" s="1"/>
  <c r="BU31" i="1"/>
  <c r="BT26" i="1"/>
  <c r="CA31" i="1"/>
  <c r="AR164" i="1"/>
  <c r="AS164" i="1"/>
  <c r="BC188" i="1"/>
  <c r="BB166" i="1"/>
  <c r="BK259" i="1"/>
  <c r="BF259" i="1"/>
  <c r="BG259" i="1" s="1"/>
  <c r="BJ15" i="1"/>
  <c r="BS89" i="1"/>
  <c r="BR82" i="1"/>
  <c r="BS82" i="1" s="1"/>
  <c r="AA49" i="1"/>
  <c r="AZ274" i="1"/>
  <c r="BA274" i="1" s="1"/>
  <c r="BA208" i="1"/>
  <c r="BO274" i="1"/>
  <c r="AZ130" i="1"/>
  <c r="BA130" i="1" s="1"/>
  <c r="BS129" i="1"/>
  <c r="BR128" i="1"/>
  <c r="BS128" i="1" s="1"/>
  <c r="AA166" i="1"/>
  <c r="Z206" i="1"/>
  <c r="AA206" i="1" s="1"/>
  <c r="BN206" i="1"/>
  <c r="BO206" i="1" s="1"/>
  <c r="BO166" i="1"/>
  <c r="O206" i="1"/>
  <c r="N166" i="1"/>
  <c r="N206" i="1" s="1"/>
  <c r="BK124" i="1"/>
  <c r="BJ126" i="1"/>
  <c r="BK126" i="1" s="1"/>
  <c r="I271" i="1"/>
  <c r="I273" i="1"/>
  <c r="I275" i="1" s="1"/>
  <c r="I209" i="1"/>
  <c r="L207" i="1"/>
  <c r="L126" i="1"/>
  <c r="L7" i="1"/>
  <c r="AJ210" i="1"/>
  <c r="AJ277" i="1" s="1"/>
  <c r="CE104" i="1"/>
  <c r="AH104" i="1"/>
  <c r="AL104" i="1" s="1"/>
  <c r="AJ124" i="1"/>
  <c r="Z111" i="1"/>
  <c r="AA112" i="1"/>
  <c r="AA111" i="1" s="1"/>
  <c r="BN31" i="1"/>
  <c r="BL32" i="1"/>
  <c r="BM32" i="1" s="1"/>
  <c r="BO32" i="1"/>
  <c r="BH164" i="1"/>
  <c r="BF162" i="1"/>
  <c r="BO188" i="1"/>
  <c r="BL188" i="1"/>
  <c r="BM188" i="1" s="1"/>
  <c r="BL274" i="1"/>
  <c r="BM208" i="1"/>
  <c r="Y7" i="1"/>
  <c r="AV162" i="1"/>
  <c r="BI162" i="1" s="1"/>
  <c r="AW128" i="1"/>
  <c r="AT128" i="1"/>
  <c r="BG128" i="1" s="1"/>
  <c r="Z41" i="1"/>
  <c r="AA41" i="1" s="1"/>
  <c r="AD26" i="1"/>
  <c r="AD20" i="1" s="1"/>
  <c r="AD124" i="1" s="1"/>
  <c r="P275" i="1"/>
  <c r="P10" i="1"/>
  <c r="BV210" i="1"/>
  <c r="BW104" i="1"/>
  <c r="BR104" i="1"/>
  <c r="BV124" i="1"/>
  <c r="CC104" i="1"/>
  <c r="AY164" i="1"/>
  <c r="BP164" i="1"/>
  <c r="BQ164" i="1" s="1"/>
  <c r="R162" i="1"/>
  <c r="AP128" i="1"/>
  <c r="W128" i="1"/>
  <c r="AA89" i="1"/>
  <c r="Z82" i="1"/>
  <c r="AA82" i="1" s="1"/>
  <c r="BP207" i="1"/>
  <c r="BP126" i="1"/>
  <c r="BQ126" i="1" s="1"/>
  <c r="BQ124" i="1"/>
  <c r="BP7" i="1"/>
  <c r="AY15" i="1"/>
  <c r="AT15" i="1"/>
  <c r="BQ15" i="1"/>
  <c r="BD164" i="1"/>
  <c r="BE164" i="1" s="1"/>
  <c r="BE162" i="1"/>
  <c r="AU191" i="1"/>
  <c r="BG191" i="1"/>
  <c r="BM191" i="1"/>
  <c r="BF217" i="1"/>
  <c r="BG214" i="1"/>
  <c r="AL162" i="1"/>
  <c r="AK164" i="1"/>
  <c r="AW166" i="1"/>
  <c r="AV206" i="1"/>
  <c r="BI166" i="1"/>
  <c r="AT13" i="1"/>
  <c r="AU13" i="1" s="1"/>
  <c r="AY13" i="1"/>
  <c r="AX12" i="1"/>
  <c r="T210" i="1"/>
  <c r="U104" i="1"/>
  <c r="BW213" i="1"/>
  <c r="BR213" i="1"/>
  <c r="BS213" i="1" s="1"/>
  <c r="CC129" i="1"/>
  <c r="CB128" i="1"/>
  <c r="BZ129" i="1"/>
  <c r="CA129" i="1" s="1"/>
  <c r="BG177" i="1"/>
  <c r="BF168" i="1"/>
  <c r="BG168" i="1" s="1"/>
  <c r="AD277" i="1"/>
  <c r="BY277" i="1" s="1"/>
  <c r="BY210" i="1"/>
  <c r="BC129" i="1"/>
  <c r="AZ129" i="1"/>
  <c r="BB128" i="1"/>
  <c r="BU82" i="1"/>
  <c r="CA82" i="1"/>
  <c r="BD190" i="1"/>
  <c r="AT190" i="1"/>
  <c r="AX189" i="1"/>
  <c r="AX188" i="1" s="1"/>
  <c r="AX166" i="1" s="1"/>
  <c r="AX206" i="1" s="1"/>
  <c r="BA35" i="1"/>
  <c r="AZ32" i="1"/>
  <c r="AQ213" i="1"/>
  <c r="AQ277" i="1" s="1"/>
  <c r="AS277" i="1" s="1"/>
  <c r="AK217" i="1"/>
  <c r="AM217" i="1" s="1"/>
  <c r="AS217" i="1"/>
  <c r="AR217" i="1"/>
  <c r="AM24" i="1"/>
  <c r="AL24" i="1"/>
  <c r="BL11" i="1"/>
  <c r="BM11" i="1" s="1"/>
  <c r="BO11" i="1"/>
  <c r="AQ207" i="1"/>
  <c r="AQ126" i="1"/>
  <c r="X277" i="1"/>
  <c r="Y210" i="1"/>
  <c r="Y277" i="1" s="1"/>
  <c r="N26" i="1"/>
  <c r="N20" i="1" s="1"/>
  <c r="N124" i="1" s="1"/>
  <c r="O20" i="1"/>
  <c r="O124" i="1" s="1"/>
  <c r="BL217" i="1"/>
  <c r="BQ217" i="1"/>
  <c r="BW162" i="1"/>
  <c r="BV164" i="1"/>
  <c r="BW164" i="1" s="1"/>
  <c r="Z129" i="1"/>
  <c r="AA129" i="1" s="1"/>
  <c r="AC129" i="1"/>
  <c r="AB128" i="1"/>
  <c r="AM53" i="1"/>
  <c r="AK50" i="1"/>
  <c r="AL53" i="1"/>
  <c r="BY162" i="1"/>
  <c r="AD164" i="1"/>
  <c r="BY164" i="1" s="1"/>
  <c r="AC49" i="1"/>
  <c r="BJ277" i="1"/>
  <c r="BK277" i="1" s="1"/>
  <c r="BJ13" i="1"/>
  <c r="AT274" i="1"/>
  <c r="AU208" i="1"/>
  <c r="BG208" i="1"/>
  <c r="AK210" i="1"/>
  <c r="AM104" i="1"/>
  <c r="AS210" i="1"/>
  <c r="AQ13" i="1"/>
  <c r="AT31" i="1"/>
  <c r="AU31" i="1" s="1"/>
  <c r="AW31" i="1"/>
  <c r="AV26" i="1"/>
  <c r="AU188" i="1"/>
  <c r="AT166" i="1"/>
  <c r="BG82" i="1"/>
  <c r="CE43" i="1"/>
  <c r="BZ43" i="1"/>
  <c r="CA43" i="1" s="1"/>
  <c r="CE42" i="1"/>
  <c r="CD41" i="1"/>
  <c r="BZ42" i="1"/>
  <c r="CA42" i="1" s="1"/>
  <c r="AZ217" i="1"/>
  <c r="BA217" i="1" s="1"/>
  <c r="BA214" i="1"/>
  <c r="AZ213" i="1"/>
  <c r="BA213" i="1" s="1"/>
  <c r="Z213" i="1"/>
  <c r="AA213" i="1" s="1"/>
  <c r="AA214" i="1"/>
  <c r="AA50" i="1"/>
  <c r="AL188" i="1"/>
  <c r="AM188" i="1"/>
  <c r="S12" i="1"/>
  <c r="Q12" i="1" s="1"/>
  <c r="Q13" i="1"/>
  <c r="BF176" i="1"/>
  <c r="BG176" i="1" s="1"/>
  <c r="BV176" i="1"/>
  <c r="CC176" i="1" s="1"/>
  <c r="BJ175" i="1"/>
  <c r="BE13" i="1"/>
  <c r="AZ13" i="1"/>
  <c r="BA13" i="1" s="1"/>
  <c r="BD12" i="1"/>
  <c r="Q128" i="1"/>
  <c r="U129" i="1"/>
  <c r="AM129" i="1"/>
  <c r="Z210" i="1"/>
  <c r="AA104" i="1"/>
  <c r="BP277" i="1"/>
  <c r="BQ277" i="1" s="1"/>
  <c r="BP13" i="1"/>
  <c r="AP50" i="1"/>
  <c r="AN49" i="1"/>
  <c r="AO50" i="1"/>
  <c r="U217" i="1" l="1"/>
  <c r="AQ7" i="1"/>
  <c r="S275" i="1"/>
  <c r="Y273" i="1"/>
  <c r="AU50" i="1"/>
  <c r="BS50" i="1"/>
  <c r="BA50" i="1"/>
  <c r="M26" i="1"/>
  <c r="K49" i="1"/>
  <c r="V124" i="1"/>
  <c r="T20" i="1"/>
  <c r="T124" i="1" s="1"/>
  <c r="T126" i="1" s="1"/>
  <c r="AR210" i="1"/>
  <c r="BG31" i="1"/>
  <c r="AU274" i="1"/>
  <c r="BG274" i="1"/>
  <c r="AQ271" i="1"/>
  <c r="AQ273" i="1"/>
  <c r="AQ209" i="1"/>
  <c r="AQ9" i="1"/>
  <c r="CE277" i="1"/>
  <c r="CE210" i="1"/>
  <c r="BK15" i="1"/>
  <c r="BF15" i="1"/>
  <c r="BG15" i="1" s="1"/>
  <c r="BM210" i="1"/>
  <c r="H273" i="1"/>
  <c r="H275" i="1" s="1"/>
  <c r="H271" i="1"/>
  <c r="H209" i="1"/>
  <c r="Q26" i="1"/>
  <c r="R20" i="1"/>
  <c r="AC20" i="1" s="1"/>
  <c r="AC124" i="1" s="1"/>
  <c r="W26" i="1"/>
  <c r="AM210" i="1"/>
  <c r="BM217" i="1"/>
  <c r="BL213" i="1"/>
  <c r="BM213" i="1" s="1"/>
  <c r="AD207" i="1"/>
  <c r="BY124" i="1"/>
  <c r="AD7" i="1"/>
  <c r="AD126" i="1"/>
  <c r="BY126" i="1" s="1"/>
  <c r="BR162" i="1"/>
  <c r="BU162" i="1"/>
  <c r="X272" i="1"/>
  <c r="Y271" i="1"/>
  <c r="X279" i="1"/>
  <c r="X280" i="1" s="1"/>
  <c r="AB124" i="1"/>
  <c r="Z20" i="1"/>
  <c r="BU206" i="1"/>
  <c r="CA206" i="1"/>
  <c r="AK206" i="1"/>
  <c r="AL166" i="1"/>
  <c r="AM166" i="1"/>
  <c r="Z277" i="1"/>
  <c r="AA210" i="1"/>
  <c r="AA277" i="1" s="1"/>
  <c r="BE12" i="1"/>
  <c r="AZ12" i="1"/>
  <c r="BA12" i="1" s="1"/>
  <c r="AT206" i="1"/>
  <c r="AU206" i="1" s="1"/>
  <c r="AU166" i="1"/>
  <c r="O207" i="1"/>
  <c r="O126" i="1"/>
  <c r="O7" i="1"/>
  <c r="AR213" i="1"/>
  <c r="AR7" i="1" s="1"/>
  <c r="AK213" i="1"/>
  <c r="AM213" i="1" s="1"/>
  <c r="AS213" i="1"/>
  <c r="AU190" i="1"/>
  <c r="BG190" i="1"/>
  <c r="BM190" i="1"/>
  <c r="BB162" i="1"/>
  <c r="BC162" i="1" s="1"/>
  <c r="BC128" i="1"/>
  <c r="CB162" i="1"/>
  <c r="CC128" i="1"/>
  <c r="BZ128" i="1"/>
  <c r="CA128" i="1" s="1"/>
  <c r="AY12" i="1"/>
  <c r="AT12" i="1"/>
  <c r="AU12" i="1" s="1"/>
  <c r="AW206" i="1"/>
  <c r="BI206" i="1"/>
  <c r="AL164" i="1"/>
  <c r="BG217" i="1"/>
  <c r="BF213" i="1"/>
  <c r="BG213" i="1" s="1"/>
  <c r="BP273" i="1"/>
  <c r="BP209" i="1"/>
  <c r="BP271" i="1"/>
  <c r="BP9" i="1"/>
  <c r="CC277" i="1"/>
  <c r="CC210" i="1"/>
  <c r="BV277" i="1"/>
  <c r="BW277" i="1" s="1"/>
  <c r="BV13" i="1"/>
  <c r="AJ207" i="1"/>
  <c r="AJ126" i="1"/>
  <c r="AJ7" i="1"/>
  <c r="BR26" i="1"/>
  <c r="BT20" i="1"/>
  <c r="AZ277" i="1"/>
  <c r="BA277" i="1" s="1"/>
  <c r="BT164" i="1"/>
  <c r="BU164" i="1" s="1"/>
  <c r="BG206" i="1"/>
  <c r="BL166" i="1"/>
  <c r="BH124" i="1"/>
  <c r="Z26" i="1"/>
  <c r="BO128" i="1"/>
  <c r="BN162" i="1"/>
  <c r="BL128" i="1"/>
  <c r="BM128" i="1" s="1"/>
  <c r="BC31" i="1"/>
  <c r="BB26" i="1"/>
  <c r="BU26" i="1" s="1"/>
  <c r="AW26" i="1"/>
  <c r="AT26" i="1"/>
  <c r="BG26" i="1" s="1"/>
  <c r="AV20" i="1"/>
  <c r="BI20" i="1" s="1"/>
  <c r="BR210" i="1"/>
  <c r="BS104" i="1"/>
  <c r="BM274" i="1"/>
  <c r="L273" i="1"/>
  <c r="L271" i="1"/>
  <c r="L209" i="1"/>
  <c r="L9" i="1"/>
  <c r="X275" i="1"/>
  <c r="Y275" i="1" s="1"/>
  <c r="Y209" i="1"/>
  <c r="BI26" i="1"/>
  <c r="BG210" i="1"/>
  <c r="BF13" i="1"/>
  <c r="BG13" i="1" s="1"/>
  <c r="AP49" i="1"/>
  <c r="AO49" i="1"/>
  <c r="AN26" i="1"/>
  <c r="Q162" i="1"/>
  <c r="U128" i="1"/>
  <c r="AM128" i="1"/>
  <c r="BV175" i="1"/>
  <c r="BJ174" i="1"/>
  <c r="BF175" i="1"/>
  <c r="BJ169" i="1"/>
  <c r="BJ12" i="1"/>
  <c r="BK13" i="1"/>
  <c r="AL50" i="1"/>
  <c r="AM50" i="1"/>
  <c r="AK49" i="1"/>
  <c r="AX7" i="1"/>
  <c r="BP8" i="1" s="1"/>
  <c r="AX207" i="1"/>
  <c r="T277" i="1"/>
  <c r="U210" i="1"/>
  <c r="U277" i="1" s="1"/>
  <c r="AU15" i="1"/>
  <c r="BM15" i="1"/>
  <c r="AV164" i="1"/>
  <c r="AW164" i="1" s="1"/>
  <c r="AW162" i="1"/>
  <c r="BQ13" i="1"/>
  <c r="BL13" i="1"/>
  <c r="BM13" i="1" s="1"/>
  <c r="BP12" i="1"/>
  <c r="CE41" i="1"/>
  <c r="BZ41" i="1"/>
  <c r="CA41" i="1" s="1"/>
  <c r="CD26" i="1"/>
  <c r="AS13" i="1"/>
  <c r="AK13" i="1"/>
  <c r="AM13" i="1" s="1"/>
  <c r="AB162" i="1"/>
  <c r="AC128" i="1"/>
  <c r="Z128" i="1"/>
  <c r="AA128" i="1" s="1"/>
  <c r="N207" i="1"/>
  <c r="N126" i="1"/>
  <c r="AZ31" i="1"/>
  <c r="BA31" i="1" s="1"/>
  <c r="BA32" i="1"/>
  <c r="BD189" i="1"/>
  <c r="AZ190" i="1"/>
  <c r="BA190" i="1" s="1"/>
  <c r="BA129" i="1"/>
  <c r="AZ128" i="1"/>
  <c r="R164" i="1"/>
  <c r="AP162" i="1"/>
  <c r="W162" i="1"/>
  <c r="BV207" i="1"/>
  <c r="BV126" i="1"/>
  <c r="BV7" i="1"/>
  <c r="CC124" i="1"/>
  <c r="AT162" i="1"/>
  <c r="BG162" i="1" s="1"/>
  <c r="AU128" i="1"/>
  <c r="BF164" i="1"/>
  <c r="BO31" i="1"/>
  <c r="BN26" i="1"/>
  <c r="BL31" i="1"/>
  <c r="BM31" i="1" s="1"/>
  <c r="AH210" i="1"/>
  <c r="AH277" i="1" s="1"/>
  <c r="AH124" i="1"/>
  <c r="BB206" i="1"/>
  <c r="BC206" i="1" s="1"/>
  <c r="BC166" i="1"/>
  <c r="BF20" i="1"/>
  <c r="AC26" i="1"/>
  <c r="BR206" i="1"/>
  <c r="BS206" i="1" s="1"/>
  <c r="BS166" i="1"/>
  <c r="AO206" i="1"/>
  <c r="AP206" i="1"/>
  <c r="AR277" i="1" l="1"/>
  <c r="Y279" i="1"/>
  <c r="Y280" i="1" s="1"/>
  <c r="BQ7" i="1"/>
  <c r="T7" i="1"/>
  <c r="AU49" i="1"/>
  <c r="BS49" i="1"/>
  <c r="BA49" i="1"/>
  <c r="M20" i="1"/>
  <c r="M124" i="1" s="1"/>
  <c r="K26" i="1"/>
  <c r="K20" i="1" s="1"/>
  <c r="K124" i="1" s="1"/>
  <c r="T207" i="1"/>
  <c r="T273" i="1" s="1"/>
  <c r="V7" i="1"/>
  <c r="V207" i="1"/>
  <c r="V126" i="1"/>
  <c r="AA26" i="1"/>
  <c r="CC126" i="1"/>
  <c r="AZ162" i="1"/>
  <c r="BA128" i="1"/>
  <c r="BQ12" i="1"/>
  <c r="BL12" i="1"/>
  <c r="BM12" i="1" s="1"/>
  <c r="AO26" i="1"/>
  <c r="AO20" i="1" s="1"/>
  <c r="AO124" i="1" s="1"/>
  <c r="AP26" i="1"/>
  <c r="AK26" i="1"/>
  <c r="AN20" i="1"/>
  <c r="BV12" i="1"/>
  <c r="BR13" i="1"/>
  <c r="BS13" i="1" s="1"/>
  <c r="BW13" i="1"/>
  <c r="R124" i="1"/>
  <c r="W20" i="1"/>
  <c r="W124" i="1" s="1"/>
  <c r="W7" i="1" s="1"/>
  <c r="BF124" i="1"/>
  <c r="AH207" i="1"/>
  <c r="AH126" i="1"/>
  <c r="AH7" i="1"/>
  <c r="AH8" i="1" s="1"/>
  <c r="AU162" i="1"/>
  <c r="AT164" i="1"/>
  <c r="AU164" i="1" s="1"/>
  <c r="AP164" i="1"/>
  <c r="W164" i="1"/>
  <c r="CE26" i="1"/>
  <c r="CD20" i="1"/>
  <c r="BZ26" i="1"/>
  <c r="CA26" i="1" s="1"/>
  <c r="AX273" i="1"/>
  <c r="AX271" i="1"/>
  <c r="AX209" i="1"/>
  <c r="AX9" i="1"/>
  <c r="BF277" i="1"/>
  <c r="BG277" i="1" s="1"/>
  <c r="BO162" i="1"/>
  <c r="BL162" i="1"/>
  <c r="BN164" i="1"/>
  <c r="BO164" i="1" s="1"/>
  <c r="BH207" i="1"/>
  <c r="BH126" i="1"/>
  <c r="BH7" i="1"/>
  <c r="BR20" i="1"/>
  <c r="N7" i="1"/>
  <c r="P8" i="1" s="1"/>
  <c r="AB207" i="1"/>
  <c r="AB126" i="1"/>
  <c r="AB7" i="1"/>
  <c r="Q20" i="1"/>
  <c r="AA20" i="1" s="1"/>
  <c r="AA124" i="1" s="1"/>
  <c r="U26" i="1"/>
  <c r="AQ279" i="1"/>
  <c r="AQ280" i="1" s="1"/>
  <c r="BV273" i="1"/>
  <c r="BV271" i="1"/>
  <c r="BV209" i="1"/>
  <c r="BV9" i="1"/>
  <c r="AB164" i="1"/>
  <c r="AC164" i="1" s="1"/>
  <c r="Z162" i="1"/>
  <c r="AC162" i="1"/>
  <c r="AC7" i="1" s="1"/>
  <c r="BG175" i="1"/>
  <c r="BF169" i="1"/>
  <c r="BG169" i="1" s="1"/>
  <c r="L275" i="1"/>
  <c r="L10" i="1"/>
  <c r="AZ26" i="1"/>
  <c r="BB20" i="1"/>
  <c r="BC26" i="1"/>
  <c r="BL206" i="1"/>
  <c r="BM206" i="1" s="1"/>
  <c r="BM166" i="1"/>
  <c r="AJ209" i="1"/>
  <c r="AJ275" i="1" s="1"/>
  <c r="AJ273" i="1"/>
  <c r="AJ271" i="1"/>
  <c r="BP275" i="1"/>
  <c r="BP10" i="1"/>
  <c r="CB164" i="1"/>
  <c r="CC162" i="1"/>
  <c r="CC164" i="1" s="1"/>
  <c r="BZ162" i="1"/>
  <c r="CB207" i="1"/>
  <c r="BS162" i="1"/>
  <c r="BR164" i="1"/>
  <c r="BS164" i="1" s="1"/>
  <c r="AD273" i="1"/>
  <c r="BY273" i="1" s="1"/>
  <c r="AD271" i="1"/>
  <c r="AD209" i="1"/>
  <c r="BY207" i="1"/>
  <c r="AL210" i="1"/>
  <c r="AL277" i="1" s="1"/>
  <c r="BL277" i="1"/>
  <c r="BM277" i="1" s="1"/>
  <c r="AR207" i="1"/>
  <c r="BO26" i="1"/>
  <c r="BN20" i="1"/>
  <c r="BL26" i="1"/>
  <c r="AT20" i="1"/>
  <c r="BB164" i="1"/>
  <c r="BC164" i="1" s="1"/>
  <c r="AM206" i="1"/>
  <c r="AL206" i="1"/>
  <c r="BD188" i="1"/>
  <c r="BD166" i="1" s="1"/>
  <c r="BD206" i="1" s="1"/>
  <c r="AZ189" i="1"/>
  <c r="N273" i="1"/>
  <c r="N271" i="1"/>
  <c r="N209" i="1"/>
  <c r="N275" i="1" s="1"/>
  <c r="AM49" i="1"/>
  <c r="AL49" i="1"/>
  <c r="BK12" i="1"/>
  <c r="BF12" i="1"/>
  <c r="BG12" i="1" s="1"/>
  <c r="BJ173" i="1"/>
  <c r="BF173" i="1" s="1"/>
  <c r="BG173" i="1" s="1"/>
  <c r="BJ168" i="1"/>
  <c r="BJ167" i="1" s="1"/>
  <c r="BJ166" i="1" s="1"/>
  <c r="BJ206" i="1" s="1"/>
  <c r="BV174" i="1"/>
  <c r="Q164" i="1"/>
  <c r="U162" i="1"/>
  <c r="AM162" i="1"/>
  <c r="L279" i="1"/>
  <c r="L280" i="1" s="1"/>
  <c r="BR277" i="1"/>
  <c r="BS277" i="1" s="1"/>
  <c r="BS210" i="1"/>
  <c r="AW20" i="1"/>
  <c r="AV124" i="1"/>
  <c r="BI124" i="1" s="1"/>
  <c r="BT124" i="1"/>
  <c r="O271" i="1"/>
  <c r="O209" i="1"/>
  <c r="O273" i="1"/>
  <c r="O9" i="1"/>
  <c r="N9" i="1" s="1"/>
  <c r="Z124" i="1"/>
  <c r="AK277" i="1"/>
  <c r="AM277" i="1" s="1"/>
  <c r="BI164" i="1"/>
  <c r="AQ275" i="1"/>
  <c r="AQ10" i="1"/>
  <c r="AU26" i="1" l="1"/>
  <c r="T209" i="1"/>
  <c r="T275" i="1" s="1"/>
  <c r="T271" i="1"/>
  <c r="T279" i="1" s="1"/>
  <c r="T280" i="1" s="1"/>
  <c r="BA26" i="1"/>
  <c r="BS26" i="1"/>
  <c r="M126" i="1"/>
  <c r="M7" i="1"/>
  <c r="AY124" i="1"/>
  <c r="M207" i="1"/>
  <c r="BE124" i="1"/>
  <c r="BW124" i="1"/>
  <c r="K126" i="1"/>
  <c r="K207" i="1"/>
  <c r="V273" i="1"/>
  <c r="V209" i="1"/>
  <c r="V275" i="1" s="1"/>
  <c r="V271" i="1"/>
  <c r="O8" i="1"/>
  <c r="AR209" i="1"/>
  <c r="AR275" i="1" s="1"/>
  <c r="BQ9" i="1"/>
  <c r="BQ273" i="1"/>
  <c r="BJ207" i="1"/>
  <c r="BJ7" i="1"/>
  <c r="BM26" i="1"/>
  <c r="BL20" i="1"/>
  <c r="CB271" i="1"/>
  <c r="CC207" i="1"/>
  <c r="CB273" i="1"/>
  <c r="CB209" i="1"/>
  <c r="CB275" i="1" s="1"/>
  <c r="BB124" i="1"/>
  <c r="BC20" i="1"/>
  <c r="AZ20" i="1"/>
  <c r="BH273" i="1"/>
  <c r="BH271" i="1"/>
  <c r="BH209" i="1"/>
  <c r="BH9" i="1"/>
  <c r="AX279" i="1"/>
  <c r="O275" i="1"/>
  <c r="O10" i="1"/>
  <c r="N10" i="1" s="1"/>
  <c r="BU20" i="1"/>
  <c r="AZ188" i="1"/>
  <c r="BA189" i="1"/>
  <c r="BN124" i="1"/>
  <c r="BO20" i="1"/>
  <c r="CA162" i="1"/>
  <c r="CA164" i="1" s="1"/>
  <c r="BZ164" i="1"/>
  <c r="BG164" i="1"/>
  <c r="BQ271" i="1"/>
  <c r="BH8" i="1"/>
  <c r="AH273" i="1"/>
  <c r="AH271" i="1"/>
  <c r="AH209" i="1"/>
  <c r="AH275" i="1" s="1"/>
  <c r="R207" i="1"/>
  <c r="AC207" i="1" s="1"/>
  <c r="R126" i="1"/>
  <c r="W126" i="1" s="1"/>
  <c r="R7" i="1"/>
  <c r="BW12" i="1"/>
  <c r="BR12" i="1"/>
  <c r="BS12" i="1" s="1"/>
  <c r="AO126" i="1"/>
  <c r="AO7" i="1"/>
  <c r="AZ164" i="1"/>
  <c r="BA164" i="1" s="1"/>
  <c r="BA162" i="1"/>
  <c r="Z126" i="1"/>
  <c r="Z207" i="1"/>
  <c r="Z7" i="1"/>
  <c r="AB8" i="1" s="1"/>
  <c r="O279" i="1"/>
  <c r="O280" i="1" s="1"/>
  <c r="O272" i="1"/>
  <c r="AV207" i="1"/>
  <c r="AW124" i="1"/>
  <c r="AV126" i="1"/>
  <c r="AW126" i="1" s="1"/>
  <c r="AV7" i="1"/>
  <c r="U164" i="1"/>
  <c r="AM164" i="1"/>
  <c r="BD207" i="1"/>
  <c r="BD7" i="1"/>
  <c r="AT124" i="1"/>
  <c r="AU20" i="1"/>
  <c r="AJ279" i="1"/>
  <c r="AJ280" i="1" s="1"/>
  <c r="BV275" i="1"/>
  <c r="BV10" i="1"/>
  <c r="Q124" i="1"/>
  <c r="U20" i="1"/>
  <c r="U124" i="1" s="1"/>
  <c r="U7" i="1" s="1"/>
  <c r="AB273" i="1"/>
  <c r="AB271" i="1"/>
  <c r="AB209" i="1"/>
  <c r="BP272" i="1"/>
  <c r="BL164" i="1"/>
  <c r="BM164" i="1" s="1"/>
  <c r="BM162" i="1"/>
  <c r="BG20" i="1"/>
  <c r="AP20" i="1"/>
  <c r="AP124" i="1" s="1"/>
  <c r="AP126" i="1" s="1"/>
  <c r="AN124" i="1"/>
  <c r="BT207" i="1"/>
  <c r="BT126" i="1"/>
  <c r="BT7" i="1"/>
  <c r="AD272" i="1"/>
  <c r="AD279" i="1"/>
  <c r="AD280" i="1" s="1"/>
  <c r="BY271" i="1"/>
  <c r="CC174" i="1"/>
  <c r="CC168" i="1" s="1"/>
  <c r="BV173" i="1"/>
  <c r="N279" i="1"/>
  <c r="N280" i="1" s="1"/>
  <c r="P272" i="1"/>
  <c r="AR273" i="1"/>
  <c r="AR271" i="1"/>
  <c r="AD275" i="1"/>
  <c r="BY275" i="1" s="1"/>
  <c r="BY209" i="1"/>
  <c r="AA162" i="1"/>
  <c r="AA7" i="1" s="1"/>
  <c r="Z164" i="1"/>
  <c r="AA164" i="1" s="1"/>
  <c r="BR124" i="1"/>
  <c r="BS20" i="1"/>
  <c r="AX275" i="1"/>
  <c r="AX10" i="1"/>
  <c r="CD124" i="1"/>
  <c r="CE20" i="1"/>
  <c r="BZ20" i="1"/>
  <c r="BF207" i="1"/>
  <c r="BF126" i="1"/>
  <c r="BF7" i="1"/>
  <c r="AL26" i="1"/>
  <c r="AL20" i="1" s="1"/>
  <c r="AL124" i="1" s="1"/>
  <c r="AK20" i="1"/>
  <c r="AM26" i="1"/>
  <c r="AR279" i="1" l="1"/>
  <c r="AR280" i="1" s="1"/>
  <c r="AA8" i="1"/>
  <c r="K7" i="1"/>
  <c r="BF8" i="1" s="1"/>
  <c r="AQ8" i="1"/>
  <c r="AS7" i="1"/>
  <c r="AX8" i="1"/>
  <c r="BV8" i="1"/>
  <c r="BW7" i="1"/>
  <c r="AY7" i="1"/>
  <c r="M209" i="1"/>
  <c r="M271" i="1"/>
  <c r="M9" i="1"/>
  <c r="M273" i="1"/>
  <c r="AS207" i="1"/>
  <c r="AY207" i="1"/>
  <c r="K273" i="1"/>
  <c r="K209" i="1"/>
  <c r="K275" i="1" s="1"/>
  <c r="K271" i="1"/>
  <c r="AY126" i="1"/>
  <c r="BE126" i="1"/>
  <c r="BW126" i="1"/>
  <c r="V279" i="1"/>
  <c r="V280" i="1" s="1"/>
  <c r="V294" i="1"/>
  <c r="BI126" i="1"/>
  <c r="N272" i="1"/>
  <c r="AH279" i="1"/>
  <c r="AH280" i="1" s="1"/>
  <c r="AN207" i="1"/>
  <c r="AN7" i="1"/>
  <c r="AN126" i="1"/>
  <c r="AB275" i="1"/>
  <c r="AV273" i="1"/>
  <c r="AW273" i="1" s="1"/>
  <c r="AV271" i="1"/>
  <c r="AV209" i="1"/>
  <c r="BI209" i="1" s="1"/>
  <c r="AW207" i="1"/>
  <c r="AV9" i="1"/>
  <c r="Q7" i="1"/>
  <c r="S8" i="1" s="1"/>
  <c r="AL126" i="1"/>
  <c r="AL7" i="1"/>
  <c r="BF273" i="1"/>
  <c r="BF271" i="1"/>
  <c r="BF209" i="1"/>
  <c r="BR207" i="1"/>
  <c r="BR126" i="1"/>
  <c r="BS126" i="1" s="1"/>
  <c r="BS124" i="1"/>
  <c r="BT8" i="1"/>
  <c r="BU7" i="1"/>
  <c r="BR7" i="1"/>
  <c r="Q207" i="1"/>
  <c r="Q126" i="1"/>
  <c r="U126" i="1" s="1"/>
  <c r="AW7" i="1"/>
  <c r="AT7" i="1"/>
  <c r="BG7" i="1" s="1"/>
  <c r="AV8" i="1"/>
  <c r="AA126" i="1"/>
  <c r="AC126" i="1"/>
  <c r="BA188" i="1"/>
  <c r="AZ166" i="1"/>
  <c r="BB126" i="1"/>
  <c r="BC126" i="1" s="1"/>
  <c r="BB207" i="1"/>
  <c r="BC124" i="1"/>
  <c r="BB7" i="1"/>
  <c r="BZ124" i="1"/>
  <c r="CA20" i="1"/>
  <c r="AB279" i="1"/>
  <c r="AB280" i="1" s="1"/>
  <c r="BD273" i="1"/>
  <c r="BD271" i="1"/>
  <c r="BD209" i="1"/>
  <c r="BE207" i="1"/>
  <c r="BD9" i="1"/>
  <c r="BE9" i="1" s="1"/>
  <c r="R273" i="1"/>
  <c r="W273" i="1" s="1"/>
  <c r="R271" i="1"/>
  <c r="AB272" i="1" s="1"/>
  <c r="R209" i="1"/>
  <c r="R9" i="1"/>
  <c r="Q9" i="1" s="1"/>
  <c r="W207" i="1"/>
  <c r="BI7" i="1"/>
  <c r="BH275" i="1"/>
  <c r="BH10" i="1"/>
  <c r="BQ10" i="1"/>
  <c r="BK7" i="1"/>
  <c r="BJ8" i="1"/>
  <c r="AK124" i="1"/>
  <c r="AM20" i="1"/>
  <c r="AM124" i="1" s="1"/>
  <c r="AM126" i="1" s="1"/>
  <c r="CD207" i="1"/>
  <c r="CD126" i="1"/>
  <c r="CE126" i="1" s="1"/>
  <c r="CE124" i="1"/>
  <c r="CC173" i="1"/>
  <c r="BR173" i="1"/>
  <c r="BS173" i="1" s="1"/>
  <c r="AT207" i="1"/>
  <c r="AT126" i="1"/>
  <c r="AU126" i="1" s="1"/>
  <c r="AU124" i="1"/>
  <c r="Z273" i="1"/>
  <c r="Z271" i="1"/>
  <c r="Z209" i="1"/>
  <c r="AX280" i="1"/>
  <c r="BM20" i="1"/>
  <c r="BL124" i="1"/>
  <c r="BD8" i="1"/>
  <c r="BE7" i="1"/>
  <c r="CC273" i="1"/>
  <c r="CC271" i="1"/>
  <c r="CC209" i="1"/>
  <c r="CC275" i="1" s="1"/>
  <c r="BG124" i="1"/>
  <c r="BT273" i="1"/>
  <c r="BU273" i="1" s="1"/>
  <c r="BT271" i="1"/>
  <c r="BT209" i="1"/>
  <c r="BU207" i="1"/>
  <c r="BT9" i="1"/>
  <c r="BQ275" i="1"/>
  <c r="BN207" i="1"/>
  <c r="BN126" i="1"/>
  <c r="BN7" i="1"/>
  <c r="BI207" i="1"/>
  <c r="AZ124" i="1"/>
  <c r="BA20" i="1"/>
  <c r="BJ273" i="1"/>
  <c r="BK273" i="1" s="1"/>
  <c r="BJ271" i="1"/>
  <c r="BJ209" i="1"/>
  <c r="BJ9" i="1"/>
  <c r="BK9" i="1" s="1"/>
  <c r="BE273" i="1" l="1"/>
  <c r="M8" i="1"/>
  <c r="L8" i="1"/>
  <c r="M272" i="1"/>
  <c r="L272" i="1"/>
  <c r="K279" i="1"/>
  <c r="K280" i="1" s="1"/>
  <c r="M279" i="1"/>
  <c r="AS271" i="1"/>
  <c r="AQ272" i="1"/>
  <c r="AY271" i="1"/>
  <c r="BW271" i="1"/>
  <c r="AX272" i="1"/>
  <c r="BV272" i="1"/>
  <c r="M275" i="1"/>
  <c r="M10" i="1"/>
  <c r="AS209" i="1"/>
  <c r="AY209" i="1"/>
  <c r="AS273" i="1"/>
  <c r="AY273" i="1"/>
  <c r="BW273" i="1"/>
  <c r="K9" i="1"/>
  <c r="AS9" i="1"/>
  <c r="AY9" i="1"/>
  <c r="BW9" i="1"/>
  <c r="R8" i="1"/>
  <c r="BI273" i="1"/>
  <c r="AZ126" i="1"/>
  <c r="BA126" i="1" s="1"/>
  <c r="BA124" i="1"/>
  <c r="AT273" i="1"/>
  <c r="AU273" i="1" s="1"/>
  <c r="AT271" i="1"/>
  <c r="BG271" i="1" s="1"/>
  <c r="AT209" i="1"/>
  <c r="BG209" i="1" s="1"/>
  <c r="AU207" i="1"/>
  <c r="AZ206" i="1"/>
  <c r="BA206" i="1" s="1"/>
  <c r="BA166" i="1"/>
  <c r="Q273" i="1"/>
  <c r="U273" i="1" s="1"/>
  <c r="Q271" i="1"/>
  <c r="AA271" i="1" s="1"/>
  <c r="Q209" i="1"/>
  <c r="AA209" i="1" s="1"/>
  <c r="U207" i="1"/>
  <c r="BF275" i="1"/>
  <c r="AV279" i="1"/>
  <c r="AV280" i="1" s="1"/>
  <c r="AV272" i="1"/>
  <c r="AW271" i="1"/>
  <c r="BJ279" i="1"/>
  <c r="BJ272" i="1"/>
  <c r="BK271" i="1"/>
  <c r="BT275" i="1"/>
  <c r="BU275" i="1" s="1"/>
  <c r="BU209" i="1"/>
  <c r="BT10" i="1"/>
  <c r="CD273" i="1"/>
  <c r="CD271" i="1"/>
  <c r="CD279" i="1" s="1"/>
  <c r="CD209" i="1"/>
  <c r="CD275" i="1" s="1"/>
  <c r="CE207" i="1"/>
  <c r="R275" i="1"/>
  <c r="W275" i="1" s="1"/>
  <c r="R10" i="1"/>
  <c r="Q10" i="1" s="1"/>
  <c r="W209" i="1"/>
  <c r="AZ7" i="1"/>
  <c r="BC7" i="1"/>
  <c r="BB8" i="1"/>
  <c r="AU7" i="1"/>
  <c r="AT8" i="1"/>
  <c r="BS7" i="1"/>
  <c r="BR8" i="1"/>
  <c r="BH272" i="1"/>
  <c r="AW9" i="1"/>
  <c r="AT9" i="1"/>
  <c r="AU9" i="1" s="1"/>
  <c r="AN8" i="1"/>
  <c r="AP7" i="1"/>
  <c r="BN8" i="1"/>
  <c r="BL7" i="1"/>
  <c r="BO7" i="1"/>
  <c r="AC273" i="1"/>
  <c r="BU271" i="1"/>
  <c r="BT272" i="1"/>
  <c r="BL207" i="1"/>
  <c r="BM124" i="1"/>
  <c r="BL126" i="1"/>
  <c r="BM126" i="1" s="1"/>
  <c r="AA207" i="1"/>
  <c r="R279" i="1"/>
  <c r="R280" i="1" s="1"/>
  <c r="W271" i="1"/>
  <c r="W279" i="1" s="1"/>
  <c r="W280" i="1" s="1"/>
  <c r="V272" i="1"/>
  <c r="BD275" i="1"/>
  <c r="BE209" i="1"/>
  <c r="BD10" i="1"/>
  <c r="BE10" i="1" s="1"/>
  <c r="AC271" i="1"/>
  <c r="BZ207" i="1"/>
  <c r="BZ126" i="1"/>
  <c r="CA126" i="1" s="1"/>
  <c r="CA124" i="1"/>
  <c r="BI9" i="1"/>
  <c r="BR273" i="1"/>
  <c r="BS273" i="1" s="1"/>
  <c r="BR271" i="1"/>
  <c r="BR209" i="1"/>
  <c r="BS207" i="1"/>
  <c r="BI271" i="1"/>
  <c r="AC209" i="1"/>
  <c r="AN273" i="1"/>
  <c r="AP273" i="1" s="1"/>
  <c r="AN271" i="1"/>
  <c r="AN209" i="1"/>
  <c r="AO207" i="1"/>
  <c r="AP207" i="1"/>
  <c r="AN9" i="1"/>
  <c r="BJ275" i="1"/>
  <c r="BK275" i="1" s="1"/>
  <c r="BJ10" i="1"/>
  <c r="BK10" i="1" s="1"/>
  <c r="BN273" i="1"/>
  <c r="BO273" i="1" s="1"/>
  <c r="BN271" i="1"/>
  <c r="BO207" i="1"/>
  <c r="BN209" i="1"/>
  <c r="BN9" i="1"/>
  <c r="Z279" i="1"/>
  <c r="Z280" i="1" s="1"/>
  <c r="BR9" i="1"/>
  <c r="BS9" i="1" s="1"/>
  <c r="BU9" i="1"/>
  <c r="Z275" i="1"/>
  <c r="AK126" i="1"/>
  <c r="AK207" i="1"/>
  <c r="AK7" i="1"/>
  <c r="BE271" i="1"/>
  <c r="BD272" i="1"/>
  <c r="BB273" i="1"/>
  <c r="BC273" i="1" s="1"/>
  <c r="BB271" i="1"/>
  <c r="BB209" i="1"/>
  <c r="BC207" i="1"/>
  <c r="BB9" i="1"/>
  <c r="BF9" i="1"/>
  <c r="BG207" i="1"/>
  <c r="AV275" i="1"/>
  <c r="AW275" i="1" s="1"/>
  <c r="AW209" i="1"/>
  <c r="AV10" i="1"/>
  <c r="BI10" i="1" s="1"/>
  <c r="BG126" i="1"/>
  <c r="AS279" i="1" l="1"/>
  <c r="AS280" i="1" s="1"/>
  <c r="BE275" i="1"/>
  <c r="K272" i="1"/>
  <c r="K10" i="1"/>
  <c r="AS10" i="1"/>
  <c r="AY10" i="1"/>
  <c r="BW10" i="1"/>
  <c r="M280" i="1"/>
  <c r="AY279" i="1"/>
  <c r="BG9" i="1"/>
  <c r="AS275" i="1"/>
  <c r="AY275" i="1"/>
  <c r="BW275" i="1"/>
  <c r="Z272" i="1"/>
  <c r="R272" i="1"/>
  <c r="AA273" i="1"/>
  <c r="AA279" i="1" s="1"/>
  <c r="AA280" i="1" s="1"/>
  <c r="BF272" i="1"/>
  <c r="AC279" i="1"/>
  <c r="AC280" i="1" s="1"/>
  <c r="BU10" i="1"/>
  <c r="BR10" i="1"/>
  <c r="Q275" i="1"/>
  <c r="U275" i="1" s="1"/>
  <c r="U209" i="1"/>
  <c r="AM7" i="1"/>
  <c r="AK8" i="1"/>
  <c r="AN275" i="1"/>
  <c r="AP275" i="1" s="1"/>
  <c r="AP209" i="1"/>
  <c r="AO209" i="1"/>
  <c r="AO275" i="1" s="1"/>
  <c r="AN10" i="1"/>
  <c r="BR272" i="1"/>
  <c r="BS271" i="1"/>
  <c r="Q279" i="1"/>
  <c r="Q280" i="1" s="1"/>
  <c r="S272" i="1"/>
  <c r="T272" i="1"/>
  <c r="U271" i="1"/>
  <c r="U279" i="1" s="1"/>
  <c r="U280" i="1" s="1"/>
  <c r="AC275" i="1"/>
  <c r="BB275" i="1"/>
  <c r="BC275" i="1" s="1"/>
  <c r="BC209" i="1"/>
  <c r="BB10" i="1"/>
  <c r="AK271" i="1"/>
  <c r="AK273" i="1"/>
  <c r="AM273" i="1" s="1"/>
  <c r="AK209" i="1"/>
  <c r="AM207" i="1"/>
  <c r="AL207" i="1"/>
  <c r="BO271" i="1"/>
  <c r="BN272" i="1"/>
  <c r="AP9" i="1"/>
  <c r="AK9" i="1"/>
  <c r="AM9" i="1" s="1"/>
  <c r="AP271" i="1"/>
  <c r="AP279" i="1" s="1"/>
  <c r="AP280" i="1" s="1"/>
  <c r="AN279" i="1"/>
  <c r="AN280" i="1" s="1"/>
  <c r="AN272" i="1"/>
  <c r="BG273" i="1"/>
  <c r="BZ271" i="1"/>
  <c r="BZ273" i="1"/>
  <c r="BZ209" i="1"/>
  <c r="BZ275" i="1" s="1"/>
  <c r="CA207" i="1"/>
  <c r="BL271" i="1"/>
  <c r="BL273" i="1"/>
  <c r="BM273" i="1" s="1"/>
  <c r="BL209" i="1"/>
  <c r="BM207" i="1"/>
  <c r="AZ8" i="1"/>
  <c r="BA7" i="1"/>
  <c r="BI275" i="1"/>
  <c r="AT275" i="1"/>
  <c r="AU275" i="1" s="1"/>
  <c r="AU209" i="1"/>
  <c r="BC9" i="1"/>
  <c r="AZ9" i="1"/>
  <c r="BA9" i="1" s="1"/>
  <c r="BN275" i="1"/>
  <c r="BO275" i="1" s="1"/>
  <c r="BO209" i="1"/>
  <c r="BN10" i="1"/>
  <c r="AO271" i="1"/>
  <c r="AO273" i="1"/>
  <c r="BR275" i="1"/>
  <c r="BS275" i="1" s="1"/>
  <c r="BS209" i="1"/>
  <c r="AW10" i="1"/>
  <c r="AT10" i="1"/>
  <c r="BB272" i="1"/>
  <c r="BC271" i="1"/>
  <c r="BF10" i="1"/>
  <c r="BL9" i="1"/>
  <c r="BM9" i="1" s="1"/>
  <c r="BO9" i="1"/>
  <c r="BM7" i="1"/>
  <c r="BL8" i="1"/>
  <c r="CE273" i="1"/>
  <c r="CE271" i="1"/>
  <c r="CE209" i="1"/>
  <c r="CE275" i="1" s="1"/>
  <c r="AT272" i="1"/>
  <c r="AT279" i="1"/>
  <c r="AT280" i="1" s="1"/>
  <c r="AU271" i="1"/>
  <c r="T294" i="1"/>
  <c r="AZ207" i="1"/>
  <c r="AU10" i="1" l="1"/>
  <c r="Q272" i="1"/>
  <c r="AA272" i="1" s="1"/>
  <c r="BS10" i="1"/>
  <c r="BG10" i="1"/>
  <c r="AO279" i="1"/>
  <c r="AO280" i="1" s="1"/>
  <c r="BG275" i="1"/>
  <c r="CA273" i="1"/>
  <c r="CA271" i="1"/>
  <c r="CA209" i="1"/>
  <c r="CA275" i="1" s="1"/>
  <c r="AL273" i="1"/>
  <c r="AL271" i="1"/>
  <c r="BL275" i="1"/>
  <c r="BM275" i="1" s="1"/>
  <c r="BM209" i="1"/>
  <c r="AK275" i="1"/>
  <c r="AM275" i="1" s="1"/>
  <c r="AL209" i="1"/>
  <c r="AL275" i="1" s="1"/>
  <c r="AM209" i="1"/>
  <c r="AZ273" i="1"/>
  <c r="BA273" i="1" s="1"/>
  <c r="AZ271" i="1"/>
  <c r="AZ209" i="1"/>
  <c r="BA207" i="1"/>
  <c r="AK279" i="1"/>
  <c r="AK280" i="1" s="1"/>
  <c r="AK272" i="1"/>
  <c r="AM271" i="1"/>
  <c r="AM279" i="1" s="1"/>
  <c r="AM280" i="1" s="1"/>
  <c r="AK10" i="1"/>
  <c r="AM10" i="1" s="1"/>
  <c r="AP10" i="1"/>
  <c r="AA275" i="1"/>
  <c r="BL10" i="1"/>
  <c r="BM10" i="1" s="1"/>
  <c r="BO10" i="1"/>
  <c r="AZ10" i="1"/>
  <c r="BA10" i="1" s="1"/>
  <c r="BC10" i="1"/>
  <c r="BM271" i="1"/>
  <c r="BL272" i="1"/>
  <c r="U272" i="1" l="1"/>
  <c r="AZ275" i="1"/>
  <c r="BA275" i="1" s="1"/>
  <c r="BA209" i="1"/>
  <c r="BA271" i="1"/>
  <c r="AZ272" i="1"/>
  <c r="AL279" i="1"/>
  <c r="AL280" i="1" s="1"/>
</calcChain>
</file>

<file path=xl/sharedStrings.xml><?xml version="1.0" encoding="utf-8"?>
<sst xmlns="http://schemas.openxmlformats.org/spreadsheetml/2006/main" count="828" uniqueCount="451">
  <si>
    <t xml:space="preserve">Исполнение Бюджета Комитета по дорожному хозяйству Ленинградской области в 2018 году  (в тыс.руб.) </t>
  </si>
  <si>
    <t xml:space="preserve">ПОПРАВКИ БЮДЖЕТА 2016 года по Комитету по дорожному хозяйству Ленинградской области   (в тыс.руб.)          апрель 2016 года. </t>
  </si>
  <si>
    <t>№</t>
  </si>
  <si>
    <t>Наименование</t>
  </si>
  <si>
    <t>КБК</t>
  </si>
  <si>
    <t>Утв. Бюджет 2016г. (№ 139-оз от 23.12.15г. в ред. ОЗ №51-оз от 07.07.16г. )</t>
  </si>
  <si>
    <t>в том числе</t>
  </si>
  <si>
    <t>ПОПРАВКИ</t>
  </si>
  <si>
    <t>ПОПРАВКИ №1    (в августе-сентябре 2018г.)</t>
  </si>
  <si>
    <t xml:space="preserve"> ПРОЕКТ бюджета на 2018г. с учетом ПОПРАВОК №1 (закон в октябре 2018г.)</t>
  </si>
  <si>
    <t>Принято по актам выполненных работ за 2017 год</t>
  </si>
  <si>
    <t xml:space="preserve">% от лимита года </t>
  </si>
  <si>
    <t>ОЖИДАЕМЫЙ ОСТАТОК средств от плана года на 2017г. (гр.3-гр.4)</t>
  </si>
  <si>
    <t>Остаток средств от лимита года  от Проекта бюджета-2 (попраки ГП)</t>
  </si>
  <si>
    <t>План по г/к на январь-июнь 2017г.</t>
  </si>
  <si>
    <t>Выполнение на 01.07.2018г.</t>
  </si>
  <si>
    <t>% от плана  гос.контр.</t>
  </si>
  <si>
    <t>% от лимита года</t>
  </si>
  <si>
    <t>Остаток средств от бюджета 2018г. (гр.3-гр.4)</t>
  </si>
  <si>
    <t>Финансирование от ожидаемого исполнения бюджета на 28.12.2018г.</t>
  </si>
  <si>
    <t xml:space="preserve">% от ожидаемого исполнения бюджета 2018 года </t>
  </si>
  <si>
    <t xml:space="preserve">Остаток от ожидаемого исполнения бюджета 2018 года </t>
  </si>
  <si>
    <t xml:space="preserve">% </t>
  </si>
  <si>
    <t xml:space="preserve">Остаток от  бюджета 2018 года </t>
  </si>
  <si>
    <t>Пояснения остатка</t>
  </si>
  <si>
    <t>Ожидаемый остаток средств от проекта бюджета</t>
  </si>
  <si>
    <t>Утвержденный План Целевых показателей на 2017г., всего:</t>
  </si>
  <si>
    <t>в т.ч. План по Соглашениям с ФДА</t>
  </si>
  <si>
    <t>Исполнение утвержденного Плана Целевых показателей в 2017г., всего:</t>
  </si>
  <si>
    <t>остаток от утвержденного Плана Целевых показателей на 2017г., всего:</t>
  </si>
  <si>
    <t>ГКУ Ленавтодор</t>
  </si>
  <si>
    <t>ДК</t>
  </si>
  <si>
    <t>ДК  -  Финансирование</t>
  </si>
  <si>
    <t>3.1</t>
  </si>
  <si>
    <t>3.2</t>
  </si>
  <si>
    <t>4.1</t>
  </si>
  <si>
    <t>4.2</t>
  </si>
  <si>
    <t>4</t>
  </si>
  <si>
    <t>4*</t>
  </si>
  <si>
    <t>5*</t>
  </si>
  <si>
    <t>5.1</t>
  </si>
  <si>
    <t>5.2</t>
  </si>
  <si>
    <t>5**</t>
  </si>
  <si>
    <t>6*</t>
  </si>
  <si>
    <t>6.1</t>
  </si>
  <si>
    <t>6.2</t>
  </si>
  <si>
    <t>7*</t>
  </si>
  <si>
    <t>7.1</t>
  </si>
  <si>
    <t>7.2</t>
  </si>
  <si>
    <t>8.1</t>
  </si>
  <si>
    <t>8.2</t>
  </si>
  <si>
    <t>Всего расходов  по комитету</t>
  </si>
  <si>
    <t>% от бюджета 2018г.</t>
  </si>
  <si>
    <t>в т. ч Дорожный фонд (ОБ+ФБ), в т.ч.:</t>
  </si>
  <si>
    <t>за счет средств областного бюджета (ОБ)</t>
  </si>
  <si>
    <t>за счет средств федерального бюджета (ФБ)</t>
  </si>
  <si>
    <r>
      <t xml:space="preserve">Всего бюджетам  МО - </t>
    </r>
    <r>
      <rPr>
        <b/>
        <i/>
        <sz val="14"/>
        <color rgb="FF7030A0"/>
        <rFont val="Arial Cyr"/>
        <charset val="204"/>
      </rPr>
      <t>(</t>
    </r>
    <r>
      <rPr>
        <b/>
        <i/>
        <sz val="13"/>
        <color rgb="FF7030A0"/>
        <rFont val="Arial Cyr"/>
        <charset val="204"/>
      </rPr>
      <t>Дорожный фонд субсидии МО (ОБ+ФБ) - 882 618,4 тыс. руб. , в т.ч.:</t>
    </r>
  </si>
  <si>
    <t>из средств Дорожного фонда (ОБ), всего  субсидии бюджетам МО</t>
  </si>
  <si>
    <t>из средств Дорожного фонда (ФБ), всего  субсидии бюджетам МО</t>
  </si>
  <si>
    <r>
      <t xml:space="preserve">Непрограммные расходы                                     </t>
    </r>
    <r>
      <rPr>
        <b/>
        <i/>
        <sz val="13"/>
        <color rgb="FF002060"/>
        <rFont val="Arial Cyr"/>
        <charset val="204"/>
      </rPr>
      <t xml:space="preserve">  (исполнение судеб. решений- 95 990,2 тыс. руб.; субсидии на ликвидацию ДУИЦ - 7 500,0 тыс. руб.)</t>
    </r>
  </si>
  <si>
    <t xml:space="preserve"> I. ГП «Развитие автомобильных дорог Ленинградской области»  </t>
  </si>
  <si>
    <t xml:space="preserve">Подпрограмма 1   «Развитие сети автомобильных дорог Ленинградской области»  </t>
  </si>
  <si>
    <t>1</t>
  </si>
  <si>
    <t>Строительство и реконструкция региональных а/д, всего, в т.ч.:</t>
  </si>
  <si>
    <t xml:space="preserve">6210401 414 310 </t>
  </si>
  <si>
    <t>9,384км/398,55пог.м</t>
  </si>
  <si>
    <t>22,3км</t>
  </si>
  <si>
    <t>ФБ</t>
  </si>
  <si>
    <t>ОБ</t>
  </si>
  <si>
    <t>ПИР будущих лет (226), всего:</t>
  </si>
  <si>
    <t>Выкуп земель (КОСГУ 330)</t>
  </si>
  <si>
    <t>Компенсац.за снос строений-290</t>
  </si>
  <si>
    <t>1.1</t>
  </si>
  <si>
    <t>Строительство региональных а/д, всего:</t>
  </si>
  <si>
    <t>621 01 04010</t>
  </si>
  <si>
    <t>5,363км/398,55пог.м</t>
  </si>
  <si>
    <t>7,9км</t>
  </si>
  <si>
    <t>в том числе по объектам:</t>
  </si>
  <si>
    <t>1.1.1</t>
  </si>
  <si>
    <t>Стр-во подъезда к г. Всеволожск</t>
  </si>
  <si>
    <r>
      <t>621 01 04010 414 310 62010</t>
    </r>
    <r>
      <rPr>
        <b/>
        <sz val="13"/>
        <rFont val="Arial Cyr"/>
        <charset val="204"/>
      </rPr>
      <t>101</t>
    </r>
  </si>
  <si>
    <t>-</t>
  </si>
  <si>
    <t xml:space="preserve">СМР - ОБ </t>
  </si>
  <si>
    <t>ПИР, прочие (КОСГУ 226)</t>
  </si>
  <si>
    <t>226</t>
  </si>
  <si>
    <t>1.1.2</t>
  </si>
  <si>
    <t>Стр-во путепр. в месте пересечения жел.путей и а/д "Подъезд к г.Гатчина-2" подрядчик ЗАО "Пилон"</t>
  </si>
  <si>
    <r>
      <t>621 01 04010 414 310 62010</t>
    </r>
    <r>
      <rPr>
        <b/>
        <sz val="13"/>
        <rFont val="Arial Cyr"/>
        <charset val="204"/>
      </rPr>
      <t>133</t>
    </r>
  </si>
  <si>
    <t>Планируется уменьшение стоимости гос.контракта в связи с возникновением отпавших работ</t>
  </si>
  <si>
    <t>1,129км/104,5пог.м</t>
  </si>
  <si>
    <t>ОБ, всего</t>
  </si>
  <si>
    <t xml:space="preserve">СМР - ФБ </t>
  </si>
  <si>
    <t xml:space="preserve"> выкуп земель (КОСГУ  330)</t>
  </si>
  <si>
    <t xml:space="preserve"> возмещение затрат за снос строений + возмещение ущерба рыбным ресурсам (КОСГУ 296)</t>
  </si>
  <si>
    <t>1.1.3</t>
  </si>
  <si>
    <t>Стр-во мост.перех. ч/р Волхов на подъезде к г.Кириши в Кир.р-не ЛО</t>
  </si>
  <si>
    <r>
      <t>621 01 04010 414 310 62010</t>
    </r>
    <r>
      <rPr>
        <b/>
        <sz val="13"/>
        <rFont val="Arial Cyr"/>
        <charset val="204"/>
      </rPr>
      <t>111</t>
    </r>
  </si>
  <si>
    <t>в т.ч.:                       СМР</t>
  </si>
  <si>
    <t xml:space="preserve">                                 ПИР, прочие </t>
  </si>
  <si>
    <t>Стр-во автодор. путепровода на  ст.Возрождение участка Выборг-Каменногорск взамен закрываемого переезда на ПК 229+44.20 (23км) подрядчик ЗАО "АБЗ-Дорстрой"</t>
  </si>
  <si>
    <r>
      <t>621 01 04010 414 310 62010</t>
    </r>
    <r>
      <rPr>
        <b/>
        <sz val="13"/>
        <rFont val="Arial Cyr"/>
        <charset val="204"/>
      </rPr>
      <t>112</t>
    </r>
  </si>
  <si>
    <t>2,804км/191,75пог.м</t>
  </si>
  <si>
    <t>аренда земель (КОСГУ 224)</t>
  </si>
  <si>
    <t xml:space="preserve"> возмещение затрат за снос строений (КОСГУ 290)</t>
  </si>
  <si>
    <t>1.1.4</t>
  </si>
  <si>
    <t>Стр-во автодорожного путепровода на перегоне Таммисуо-Гвардейское участка Выборг-Каменногорск взамен закрываемых переездов на ПК 105+00.00, ПК 106+38.30  (11 км) подрядчик ЗАО "Пилон"</t>
  </si>
  <si>
    <r>
      <t>621 01 04010 414 310 62010</t>
    </r>
    <r>
      <rPr>
        <b/>
        <sz val="13"/>
        <rFont val="Arial Cyr"/>
        <charset val="204"/>
      </rPr>
      <t>113</t>
    </r>
  </si>
  <si>
    <t xml:space="preserve"> возмещение затрат за снос строений (КОСГУ 296)</t>
  </si>
  <si>
    <t>1.1.5</t>
  </si>
  <si>
    <t>Стр-во автодорожного путепровода на перегоне Выборг-Таммисуо участка  Выборг-Каменногорск взамен  закрываемых переездов на ПК 26+30.92, ПК 1276+10.80 и ПК 15+89.60 (3 км) подрядчик ООО "Дортекс"</t>
  </si>
  <si>
    <r>
      <t>621 01 04010 414 310 62010</t>
    </r>
    <r>
      <rPr>
        <b/>
        <sz val="13"/>
        <rFont val="Arial Cyr"/>
        <charset val="204"/>
      </rPr>
      <t>114</t>
    </r>
  </si>
  <si>
    <t>1,43км/102,3пог.м</t>
  </si>
  <si>
    <t>1.1.6</t>
  </si>
  <si>
    <t>Стр-во транспортной развязки на пересечении а/дороги "СПб-з-д им.Свердлова- Всеволожск (км39) с железной дорогой на  перегоне Всеволожск-Мельничный Ручей во Всеволож. р-не Лен. области</t>
  </si>
  <si>
    <r>
      <t>621 01 04010 414 310 62010</t>
    </r>
    <r>
      <rPr>
        <b/>
        <sz val="13"/>
        <rFont val="Arial Cyr"/>
        <charset val="204"/>
      </rPr>
      <t>115</t>
    </r>
  </si>
  <si>
    <t>Не достигнуто согласие с собственниками, в связи с чем не подписано соглашение об изъятии. Будут поданы документы в суд.</t>
  </si>
  <si>
    <t>1.1.7</t>
  </si>
  <si>
    <t>Подключение международного автомобильного вокзала в составе ТПУ «Девяткино» к КАД (строительство транспортной развязки на км 30+717 прямого хода КАД с подключением международного автомобильного вокзала в составе ТПУ «Девяткино») подрядчик АО ПО "Возрождение"</t>
  </si>
  <si>
    <t>1.1.8</t>
  </si>
  <si>
    <t>Стр-во мост.перех. ч/р Свирь у г.Подпорожье</t>
  </si>
  <si>
    <t>1.1.9</t>
  </si>
  <si>
    <t>Строительство а/д нового выхода из Санкт-Петербурга от КАД в обход населенных пунктов Мурино и Новое Девяткино с выходом на существующую а/д "Санкт-Петерург-Матокса"</t>
  </si>
  <si>
    <t>Экономия при проведении конкурсных процедур</t>
  </si>
  <si>
    <t xml:space="preserve">ПИР - ОБ </t>
  </si>
  <si>
    <t>1.1.11</t>
  </si>
  <si>
    <t xml:space="preserve">Устройство пешеходного перехода на разных уровнях на а/д общего пользования регионального значения "Санкт-Петербург - Морье" на км 10 </t>
  </si>
  <si>
    <t>1.1.10</t>
  </si>
  <si>
    <t>Устройство пешеходного перехода на разных уровнях на а/д общего пользования регионального значения "Парголово-Огоньки" на км 26  подрядчик ООО "ДорТехнологии"</t>
  </si>
  <si>
    <t>Планируется расторжение государственных контрактов на СМР, разработку рабочей документации, осуществление инженерного сопровождения (строительного контроля), авторского надзора в связи с невозможностью реализации проектных решений и необходимостью корректировки проектной документации с повторным прохождением гос.экспертизы</t>
  </si>
  <si>
    <t>ПИР будущих лет</t>
  </si>
  <si>
    <t>621 01 04010 414 226  62010120</t>
  </si>
  <si>
    <t>Планируется расторжение государственного контракта с ООО "Дорпроект" в связи с неисполнением обязательств по закл. гос.контракту на разработку проектной документации на "Устройство пешеходного перехода в разных уровнях на автомобильной дороге общего пользования регионального значения "Санкт-Петербург-Морье" на км 10" - 2 796,4 тыс. руб., неисполнение плана года на экспертизу проектной и сметной документации по объекту "Устройство пешеходного перехода в разных уровнях на автомобильной дороге общего пользования регионального значения "Санкт-Петербург-Морье" на км 10"  - 2 325,6 тыс. руб., 2593,7 тыс. руб. - неисполнение плана года на экспертизу проектной и сметной документации  по объекту "Стр-во путепр. на ж.д. ст. Любань", 154,9 тыс.руб. - экономия по результатам конк процедур</t>
  </si>
  <si>
    <t>1ед.</t>
  </si>
  <si>
    <t>1.2</t>
  </si>
  <si>
    <t>Реконструкция региональных а/д , всего:</t>
  </si>
  <si>
    <t>621 01 04260</t>
  </si>
  <si>
    <t>4,021км</t>
  </si>
  <si>
    <t>14,4км</t>
  </si>
  <si>
    <t>1.2.1</t>
  </si>
  <si>
    <t>Рек.а/д  "Подъезд к г.Гатчина-1"</t>
  </si>
  <si>
    <r>
      <t>621 01 04260 414 310  62010</t>
    </r>
    <r>
      <rPr>
        <b/>
        <sz val="13"/>
        <rFont val="Arial Cyr"/>
        <charset val="204"/>
      </rPr>
      <t>118</t>
    </r>
  </si>
  <si>
    <t>в связи с расторжением  государственного контракта из-за значительного изменения проектных решений</t>
  </si>
  <si>
    <t>Рек. а/д  "Красное Село-Гатчина-Павловск" км 14+600-км 18+000 подрядчик ООО "Дортекс"</t>
  </si>
  <si>
    <r>
      <t>621 01 04260 414 310  62010</t>
    </r>
    <r>
      <rPr>
        <b/>
        <sz val="13"/>
        <rFont val="Arial Cyr"/>
        <charset val="204"/>
      </rPr>
      <t>119</t>
    </r>
  </si>
  <si>
    <t>3,321км</t>
  </si>
  <si>
    <t>1.2.2</t>
  </si>
  <si>
    <t>Рек. а/д "Петродворец-Кейкино" км 5 -км26</t>
  </si>
  <si>
    <t>1.2.3</t>
  </si>
  <si>
    <t>Рек.мост.перех. ч/р Мойка на км 47+300 а/д СПб-Кировск</t>
  </si>
  <si>
    <t>в связи с необеспечением финансирования стоимости объекта (ориентировочная стоимость объекта 465 млн. руб.)</t>
  </si>
  <si>
    <t>1.2.4</t>
  </si>
  <si>
    <t>Рек.  уч-ка а/д "Орехово – Сосново – Кривко – ж/д ст. Петяярви", км 0+750 – км 1+800</t>
  </si>
  <si>
    <r>
      <t>6210401 414 310 62010</t>
    </r>
    <r>
      <rPr>
        <b/>
        <sz val="13"/>
        <rFont val="Arial Cyr"/>
        <charset val="204"/>
      </rPr>
      <t>116</t>
    </r>
  </si>
  <si>
    <t>0,7км</t>
  </si>
  <si>
    <t>621 01 04260 414 226 62010120</t>
  </si>
  <si>
    <t>2</t>
  </si>
  <si>
    <t>Строительство (реконструкция), включая проектирование, автомобильных дорог общего пользования местного значения (Субсидии МО), всего:</t>
  </si>
  <si>
    <t>6217012 522 251 62010300</t>
  </si>
  <si>
    <t>4,644км/77,04пог.м</t>
  </si>
  <si>
    <t>А). объекты 2016г., из них:</t>
  </si>
  <si>
    <t>2.1.</t>
  </si>
  <si>
    <t>Строительство мостового перехода через Староладожский канал в дер. Загубье по адресу: Свирицкое сельское поселение Волховского района</t>
  </si>
  <si>
    <t>0,0км/40,0пог.м</t>
  </si>
  <si>
    <t>Строительство участка улично-дорожной сети для обеспечения подъезда к наноцентру в г. Гатчина по адресу: Ленинградская область, г. Гатчина, дорога между Пушкинским и Ленинградским шоссе</t>
  </si>
  <si>
    <t xml:space="preserve">Не завершены работы по устройству светофорных объектов, нанесению разметки и подключению наружного освещения (с получением тех.условий). Ожидаемый ввод объекта в эксплуатацию  в 2019 г. </t>
  </si>
  <si>
    <t>0,297км</t>
  </si>
  <si>
    <t>2.3.</t>
  </si>
  <si>
    <t>Реконструкция автомобильной дороги "Подъезд к г. Гатчина"по адресу: Ленинградская область, г. Гатчина</t>
  </si>
  <si>
    <t>2,450км</t>
  </si>
  <si>
    <t>2.2.</t>
  </si>
  <si>
    <t>Разработка проектно-сметной документации на строительство пешеходного мостового перехода через р. Оредеж в дер. Даймище</t>
  </si>
  <si>
    <t>Длительность утверждения   ППТ и ПМ для размещения линейного объекта. Администрацией  публичные слушания планировалось провести в ноябре 2018г. , но были перенесены на 21.01.19. Ожидаемое получение положительного заключения госэкспертизы в 2019 г.</t>
  </si>
  <si>
    <t xml:space="preserve">Реконструкция Копорского шоссе с перекрестками улиц Ленинградская -Копорское шоссе и перекрестками улиц Копорское шоссе-проспект Александра Невского в гор. Сосновый Бор </t>
  </si>
  <si>
    <t xml:space="preserve">Требуется корректировка проекта и повторное прохождение госэкспертизы. В бюджете МО в 2018 году не заложены средства на оплату по договору компенсации с АО Газпром. </t>
  </si>
  <si>
    <t>0,772км</t>
  </si>
  <si>
    <t>Б). объекты 2017г., из них:</t>
  </si>
  <si>
    <t>2.4.</t>
  </si>
  <si>
    <t>Реконструкция моста через Визятский ручей , ул.Карла Маркса в г. Тихвин Тихвинского городского посления Тихвинского муниципального района по адресу: 187555, Ленинградская область, Тихвинский район, г. Тихвин, ул. Карла Маркса</t>
  </si>
  <si>
    <t xml:space="preserve"> Ожидаемый ввод объекта в эксплуатацию  в 2018 г. </t>
  </si>
  <si>
    <t>0,0км/37,04пог.м</t>
  </si>
  <si>
    <t>2.7.</t>
  </si>
  <si>
    <t>Реконструкция дорожного полотна с укреплением обочин и восстановлением дренажных канав по адресу: Ленинградская область, Тосненский район, г. Любань, ул. Октября</t>
  </si>
  <si>
    <t>1,125км</t>
  </si>
  <si>
    <t>2.5.</t>
  </si>
  <si>
    <t>Разработка проектно-сметной документации на строительство моста через Староладожский канал в створе Северного переулка в г. Шлиссельбурге</t>
  </si>
  <si>
    <t>Разработка проектно-сметной документации на реконструкцию мостового перехода через р. Саба в дер. Малый Сабск (Сабское с.п. Волосовский р-н)</t>
  </si>
  <si>
    <t>В). объекты 2018г., из них:</t>
  </si>
  <si>
    <t>2.6.</t>
  </si>
  <si>
    <t xml:space="preserve"> Реконструкция ул. Дорожная (в границах от Дороги Жизни до дома №7), Садового переулка и улицы Майской в г. Всеволожске ( Администрация МО "Город Всеволожск")</t>
  </si>
  <si>
    <t xml:space="preserve">Требуется корректировка проектных решений,  ожидаемый ввод объекта в эксплуатацию  в 2019 г. В настоящее время проводится работа по получению (продлению) технических условий  с ресурсоснабжающими организациями (свет, связь, газ), а также по согласованию временных  схем организации дорожного движения (ОДД) в ГИБДД. </t>
  </si>
  <si>
    <t>2.8.</t>
  </si>
  <si>
    <t>Строительство путепровода в промышленной зоне Лазаревка через железную дорогу Санкт-Петербург - Бусловская в городе Выборге (администрация МО "Выборгский район")</t>
  </si>
  <si>
    <t>Строительство продолжения ул. Слепнева (от ул. Авиатрассы Зверевой до примыкания к ул. Киевской) по адресу: Ленинградская область, г. Гатчина</t>
  </si>
  <si>
    <t>Реконструкция "Подъезд к музею "Дом станционного смотрителя" в д. Выра от а/д "Кемполово - Выра- Тосно-Шапки"  (Администрация Рождественского сельского поселения Гатчинский р-н)</t>
  </si>
  <si>
    <t xml:space="preserve"> Работы на объекте выполнены с отклонением от проекта.  Требуетсы повторная госэкспертиза или  выполнить работы по проекту, с предварительной разборкой.  Ожидаемый ввод объекта в эксплуатацию  в 2019 г. </t>
  </si>
  <si>
    <t>2.9.</t>
  </si>
  <si>
    <t xml:space="preserve">Реконструкция автомобильной дороги "Подъезд к многофункциональному музейному центру в с. Рождественно от а/д М-20 Санкт-Петербург -Псков" (Администрация Рождественского сельского поселения Гатчинский р-н) </t>
  </si>
  <si>
    <t>Повышение эффективности осуществления дорожной деятельности - концепция (КДХ)</t>
  </si>
  <si>
    <t>6210313970 244 226</t>
  </si>
  <si>
    <t xml:space="preserve">ВСЕГО по Подпрограмме 1 (п.1+п.2)  за счет средств областного бюджета       </t>
  </si>
  <si>
    <t>14,028км/475,59пог.м</t>
  </si>
  <si>
    <t xml:space="preserve">в т.ч. за счет средств федерального бюджета </t>
  </si>
  <si>
    <t xml:space="preserve">в т.ч. </t>
  </si>
  <si>
    <t>Подпрограмма 2     «Поддержание существующей сети автомобильных дорог общего пользования»</t>
  </si>
  <si>
    <t xml:space="preserve">Содержание, кап.ремонт и ремонт а/дорог (п.3.1-п. 3.4) </t>
  </si>
  <si>
    <t>622 01 00000</t>
  </si>
  <si>
    <t>206,393км/141,31пог.м</t>
  </si>
  <si>
    <t>245,9км</t>
  </si>
  <si>
    <t>Содержание</t>
  </si>
  <si>
    <t xml:space="preserve">62201 10100 244 225 62020800 </t>
  </si>
  <si>
    <t>всего по 225</t>
  </si>
  <si>
    <t>в т.ч. нормативно-регламентные работы</t>
  </si>
  <si>
    <t>225</t>
  </si>
  <si>
    <t>в т.ч. прочие СМР (225)</t>
  </si>
  <si>
    <t>в т.ч. (310)</t>
  </si>
  <si>
    <t>Прочие электроэнергия (223)</t>
  </si>
  <si>
    <t>Прочие (КВР 242,244 КОСГУ 226)</t>
  </si>
  <si>
    <t>6</t>
  </si>
  <si>
    <t>Капитальный ремонт</t>
  </si>
  <si>
    <t xml:space="preserve">0409 6220110110 243 </t>
  </si>
  <si>
    <t>776,68225 тыс руб. - не освоение подрядчиком ООО "Проектная фирма Стройгазпроект" договорных обязательств по объекту Выполнение проектно-изыскательских работ по объекту: "Капитальный ремонт моста через реку Новоселовка на км 17+375 автомобильной дороги "Лесогорск-Топольки" (км 0+000+18+800), получено отрицательное заключение гос.экспертизы, а настоящее время проектная документация сдана для повторной прохождения гос.экспертизы за счет подрядной организации; 1 375,2 тыс.руб. - не освоение подрядчиком ООО "Проектная фирма Стройгазпроект" договорных обязательств по объекту Выполнение проектно-изыскательских работ по объекту: "Капитальный ремонт моста через реку Систа на км 15+729 автомобильной дороги "Копорье-Ручьи" (км 9+000-37+440) , получено отрицательное заключение гос.экспертизы, а настоящее время проектная документация сдана для повторной прохождения гос.экспертизы за счет подрядной организации; 969,9 ты.руб. - не освоение подрядчиком ООО "Проектная фирма Стройгазпроект" договорных обязательств по объекту Выполнение проектно-изыскательских работ по объекту: "Капитальный ремонт моста через реку Тикопись км 0+399  автомобильная дорога Подъезд к Кингисеппу, получено отрицательное заключение гос.экспертизы, а настоящее время проектная документация сдана для повторной прохождения гос.экспертизы за счет подрядной организации; 1276,6 ты.руб. - неисполнение подрядчиком ООО "НПО Стройконсультатнт" договорных обязательств,  в настоящее время проектная документация сдана для прохождения гос.экспертизы; 23,6 ты.руб. - Экспертиза сметной стоимости по объекту Капитальный ремонт автомобильной дороги "Подъезд к дер.Манушкино" км 0-км 1 во Всеволожском районе будет произведена после получения положительного заключения экспертизы проектной документации. Приостановка работ на период постановки земельного участка на кадастровый учет; 5 295,4 ты.руб. - В сводном сметном расчете по объекту Разработка проекта капитального ремонта объекта "Мост через реку Ковра на км 4+199 автомобильной дороги "Подъезд к ст.Жихарево, получишем положительное заключение гос.экспертизы не подтверждена стоимость разработки проектной документации, указанной в гос.контракте; 2 260 тыс.руб. - оформлен акт приостановки выполнения работ по объекту Выполнение проектно-изыскательских работ  по объекту "Капитальный ремонт автомобильной дороги "Переволок-Кукин Берег" км 0-км 1 в Сланцевском районе в связи с выявлением дополнительных работ по проведению историко-культурной экспертизы, завершение объекта планируется в 2019 г.</t>
  </si>
  <si>
    <t>86,444км</t>
  </si>
  <si>
    <t>3.2.1</t>
  </si>
  <si>
    <t xml:space="preserve">в т.ч. средства федерального бюджета 2018г. </t>
  </si>
  <si>
    <t>3.2.2</t>
  </si>
  <si>
    <t>СМР  за счет средств областного бюджета- всего</t>
  </si>
  <si>
    <t xml:space="preserve">Планируется расторжение гос.контрактов по объекту "Оять-Алеховщина-Надпорожье-Плотнично" на участке км 134+560 - км 146+366 на СМР и работы по сопровождению объекта авт надзор, строит контроль </t>
  </si>
  <si>
    <t>3.2.3</t>
  </si>
  <si>
    <t>ПИР за счет средств областного бюджета- всего</t>
  </si>
  <si>
    <t>Неисполнение подрядчиками договорных обязательств по ПИР</t>
  </si>
  <si>
    <t>3.2.2.1</t>
  </si>
  <si>
    <t>СМР кап. ремонт:</t>
  </si>
  <si>
    <t xml:space="preserve">225 </t>
  </si>
  <si>
    <t>3.2.3.1</t>
  </si>
  <si>
    <t>ПИР, прочие кап. ремонт:</t>
  </si>
  <si>
    <t>3.2.2.2</t>
  </si>
  <si>
    <t>СМР по а/д с тв.покрытием к сельск.нас.пунктам</t>
  </si>
  <si>
    <t xml:space="preserve">Планируется расторжение гос.контрактов по объекту «Оять-Алеховщина-Надпорожье-Плотнично» на участке км 134+560 - км 146+366" на СМР и работы по сопровождению объекта авт надзор, строит контроль </t>
  </si>
  <si>
    <t>3.2.3.2</t>
  </si>
  <si>
    <t>ПИР, прочие по а/д с тв.покрытием к сельск.нас.пунктам</t>
  </si>
  <si>
    <t>3.3</t>
  </si>
  <si>
    <t xml:space="preserve">Приведение в нормативное состояние участков а/дорог </t>
  </si>
  <si>
    <t xml:space="preserve">62201 10120 244 225 62021100 </t>
  </si>
  <si>
    <t>2,649 км.</t>
  </si>
  <si>
    <t>СМР</t>
  </si>
  <si>
    <t>3.4</t>
  </si>
  <si>
    <t>Ремонт</t>
  </si>
  <si>
    <t xml:space="preserve">62201 12750 244 225 62021000 </t>
  </si>
  <si>
    <t>117,3км/141,31пог.м</t>
  </si>
  <si>
    <t>24 437,7 тыс.руб. - расторжение гос.контракта с  ООО "Дорожная компания "Тракт" на ремонт путепровода через ж/д на км 9+290 а/д Высокое-Синицыно" в связи с неисполнением договорных обязательств; 26 281,3 тыс.руб. - экономия в связи с возникновением отпавших работ; 160 347,7 тыс.руб. - планировалось досрочное освоение лимитов 2019 г. по объектам "Псков-Гдов-Сланцы-Кингисепп-Краколье, км 150+820 - км 159+499" и "Кингисепп-Манновка, км 0+240 - 2+430, км 16+291 - км 24+465" подрядчик ООО "ЭСКО";  3 980,0 тыс.руб. - позднее заключение гос.контракта 26.11.2018г. по объекту Ульяновка-Отрадное, км 12+970 - 19+100</t>
  </si>
  <si>
    <t>Экономия при производстве работ по ремонту автомобильной дороги общего пользования регионального значения "Подъезд к дер.Ексолово,км 1+250 - км 2+035"</t>
  </si>
  <si>
    <t xml:space="preserve">Кап. ремонт и ремонт автодорог местного значения  (Субсидии МО)  (п.4.1-п. 4.2) </t>
  </si>
  <si>
    <t>62202 00000 521 251</t>
  </si>
  <si>
    <t>164,9км</t>
  </si>
  <si>
    <t xml:space="preserve">Ремонт автодорог местного значения </t>
  </si>
  <si>
    <t xml:space="preserve">62202 70140 521 251 62021400 </t>
  </si>
  <si>
    <t>Экономия по итогам конкурсных процедур и в связи с уточнением стоимости работ на объектах мун. собств-ти - 4,0 млн. руб.; Кроме того, Мельниковское с.п. Приоз. мун. р-н - 2 млн.руб.  подрядчик ООО Стройком не приступил  к работам на обьекте; Ганьковское с.п. Тивинский мун. р-н - 1 млн руб. работы не приняты муниципальным заказчиком по причине брака, г. Гатчина Гатчинский мун. р-н - 1,1 млн руб. позднее проведение аукциона, нет подрядчика, г. Всеволожск - 1,2 млн. позднее проведение аукциона (ноябрь), нет подрядчик; Красноозерное с.п Приоз р-н - 0,5 млн. руб. позднее закл. мун контракта, подрядчик не приступил к работам;  Тосненский мун р-н Шапкинское с.п. - 0,7 млн. руб. аукцион не состоялся ; Лаголовское с.п. Ломонос р-н -0,3 млн. руб.аукцион не состоялся.</t>
  </si>
  <si>
    <t>122,2км</t>
  </si>
  <si>
    <t>в т.ч.  а)  ремонт  а/д</t>
  </si>
  <si>
    <t>б) к.р. и рем. а/д с тв.покр. к нас.пунктам</t>
  </si>
  <si>
    <t>6227014 521 251 62020500 (1043)</t>
  </si>
  <si>
    <t xml:space="preserve">Кап. ремонт и ремонт автодорог общ. пользования мест. значения, имеющих приоритет.социально-значимый характер </t>
  </si>
  <si>
    <t>62202 74200 521 251 62021401</t>
  </si>
  <si>
    <t>Экономия по итогам конкурсных процедур и в связи с уточнением стоимости работ на объектах мун. собств-ти - 2,9 млн. руб.; Кроме того, Сосновоборгский гор. округ не заключен мун. контракт на доп. объекты - 3,4 млн. руб.; Путиловское с.п. Кировский мун. р-н - 2,1 млн. руб. не приняты работы мун. заказчиком по причине брака; г. Всеволожск Всеволож. мун. р-н -  4,5 млн. руб. позднее закл. мун контракта (аукцион 29.10.18г.); Ломоносовский мун. р-н - 5 млн. руб. позднее закл мун контракта (аукцион 4.11.18); Терпилицкое с.п. Волосовский мун р-н -0,9 млн. руб. позднее проведение аукциона (аукцион назначен на 12.11.18г.)</t>
  </si>
  <si>
    <t>42,7км</t>
  </si>
  <si>
    <t>4.3</t>
  </si>
  <si>
    <t xml:space="preserve">Кап. ремонт и ремонт дворовых террриторий  и проездов к двор.тер. </t>
  </si>
  <si>
    <t>5</t>
  </si>
  <si>
    <t xml:space="preserve">Технич.оснащение,постановка на кадастр.учет, функционирование государств. казен. учреждений (п.5.1-п. 5.3) </t>
  </si>
  <si>
    <t>62203 00000</t>
  </si>
  <si>
    <t xml:space="preserve">Обеспечение деятельности (услуги, работы) государственных учреждений </t>
  </si>
  <si>
    <t>62203 00160</t>
  </si>
  <si>
    <t>Экономия в связи со снижением начальной максимальной цены контракта по ремонту помещений , экономия по др. статьям бюджетной сметы ГКУ Ленавтодор</t>
  </si>
  <si>
    <t>Субсидии юридическим лицам на финансовое обеспечение затрат по оплате первого взноса при приобретении дорожной техники по договорам финансовой аренды (лизинга).</t>
  </si>
  <si>
    <t>62203 10150 244 310</t>
  </si>
  <si>
    <t>уточнение расходов в связи с экономией от торгов.</t>
  </si>
  <si>
    <t>25ед.</t>
  </si>
  <si>
    <t>5.2.</t>
  </si>
  <si>
    <t>Приобретение дорожной техники и другого имущества, необходимого для функционирования и содержания автомобильных дорог и обеспечения контроля качества выполненных дорожных работ</t>
  </si>
  <si>
    <t>экономия при расчете НМЦ контрактов</t>
  </si>
  <si>
    <t>5.3</t>
  </si>
  <si>
    <t>Кадастровые работы</t>
  </si>
  <si>
    <t>62203 10160 244 226</t>
  </si>
  <si>
    <t>3 086,6 тыс.руб. - экономия при проведении конкурсных процедур; 1 570,2 тыс.руб. - не выполнение ООО "ГеоМакИнфо" договорных обязательств по гос.контракту № 0023 от 06.08.12 г.; 1 195,9 тыс.руб. - не выполнение ГУП "Леноблинвентаризация" сроков по исполнению этапа гос.контракта № 0244 от 18.06.18 г. , 796,2 тыс.руб. - не выполнение ГУП "Леноблинвентаризация" сроков по исполнению этапа гос.контракта № 0700 от 29.12.2017 г.</t>
  </si>
  <si>
    <t xml:space="preserve">ВСЕГО по Подпрограмме 2 (п.3+п.4+п.5)                                          </t>
  </si>
  <si>
    <t>371,293км/141,31пог.м</t>
  </si>
  <si>
    <t>в т.ч. за счет средств областного бюджета</t>
  </si>
  <si>
    <t xml:space="preserve">Подпрограмма 3.  "Повышение безопасности дорожного движения и снижение негативного влияния транспорта на окружающую среду".                </t>
  </si>
  <si>
    <t>Сокращение аварийности на участках концентрации ДТП  инженерными методами</t>
  </si>
  <si>
    <t>62302 13150 240</t>
  </si>
  <si>
    <t>62302 13150 243</t>
  </si>
  <si>
    <t xml:space="preserve">  СМР</t>
  </si>
  <si>
    <t>243 255</t>
  </si>
  <si>
    <t>ПИР, прочие</t>
  </si>
  <si>
    <t>243 226</t>
  </si>
  <si>
    <t>6.1.1</t>
  </si>
  <si>
    <t>Устройство светофорных объектов</t>
  </si>
  <si>
    <t>Планировалось досрочное освоение гос.контрактов 2019г.</t>
  </si>
  <si>
    <t>6.1.2</t>
  </si>
  <si>
    <t xml:space="preserve">Устройство наружного электроосвещения </t>
  </si>
  <si>
    <t>Экономия при заключении договоров технологического присоединения</t>
  </si>
  <si>
    <t>6.1.3</t>
  </si>
  <si>
    <t>Разработка проектной документации на устройство наружного электроосвещения</t>
  </si>
  <si>
    <t>Проектно-изыскательские работы по устройству элементов обустройства</t>
  </si>
  <si>
    <t>6.1.4</t>
  </si>
  <si>
    <t>резерв</t>
  </si>
  <si>
    <t>6.1.5</t>
  </si>
  <si>
    <t>Резерв</t>
  </si>
  <si>
    <t>Ремонт, содержание</t>
  </si>
  <si>
    <t>244</t>
  </si>
  <si>
    <t>а)      СМР</t>
  </si>
  <si>
    <t>244 255</t>
  </si>
  <si>
    <t>6.2.1</t>
  </si>
  <si>
    <t>Нанесение дорожной разметки</t>
  </si>
  <si>
    <t>6.2.2</t>
  </si>
  <si>
    <t>Обустройство тротуаров (пешех. дорожек)</t>
  </si>
  <si>
    <t>Выполнение работ по восстановлению  и ремонту тротуаров, пешеходных дорожек, размещаемых в границе полосы отвода а/д Подъезд к ст.Кузнечное, км 1+860 - км 3+034 в Приозерском районе Ленинградской области будет произведено после решение вопроса с перекладкой кабеля ОАО "Ростелеком"</t>
  </si>
  <si>
    <t>6.2.3</t>
  </si>
  <si>
    <t>Обустройство автобусных остановок на а/д общего пользования регионального значения ЛО</t>
  </si>
  <si>
    <t>6.2.4</t>
  </si>
  <si>
    <t>Выполнение работ по ликвидации мест концентрации ДТП</t>
  </si>
  <si>
    <t>6.2.5</t>
  </si>
  <si>
    <t>Выполнение работ по устройству дорожных знаков на а/д общего пользования регионального значения в Бокситогорском, всеволожском, Гатчинском, Кировском, Ломоносовском и Тосненском районах ЛО</t>
  </si>
  <si>
    <t>6.2.6</t>
  </si>
  <si>
    <t>Выполнение работ по ограничению грузового движения в Кингисеппском районе и устройству искусственных дорожных неровностей и шумовых полос</t>
  </si>
  <si>
    <t>6.2.7</t>
  </si>
  <si>
    <t>Выполнение работ по установке недостающих технических средств организации дорожного движения в соответствии с ПОДД на а/д общего пользования регионального значения в ЛО</t>
  </si>
  <si>
    <t>6.2.8</t>
  </si>
  <si>
    <t xml:space="preserve">Выполнение работ по устройству искусственного наружного освещения пешеходных переходов  и автобусных остановок с питанием от автономных источников электроснабжения на а/д общего пользования регионального значения в ЛО </t>
  </si>
  <si>
    <t>6.2.9</t>
  </si>
  <si>
    <t xml:space="preserve">Выполнение мероприятий по снижению скоростного режима в населенных пунктах и установке недостающих технических средств организации дорожного движения на а/д </t>
  </si>
  <si>
    <t>6.2.10</t>
  </si>
  <si>
    <t>Установка барьерного ограждения</t>
  </si>
  <si>
    <t>6.2.11</t>
  </si>
  <si>
    <t>Резерв по СМР</t>
  </si>
  <si>
    <t>Экономия при проведении конкурсных процедур и отпавшие работ при выполнении работ по нанесению дорожной разметки и устройству автобусных остановок</t>
  </si>
  <si>
    <t>б)       Прочие</t>
  </si>
  <si>
    <t>244 226</t>
  </si>
  <si>
    <t>6.2.12</t>
  </si>
  <si>
    <t xml:space="preserve">Выполнение специального обследования и разработка сметных расчетов стоимости работ по обустройству автобусных остановок на а/д общего пользования регионального значения </t>
  </si>
  <si>
    <t>6.2.13</t>
  </si>
  <si>
    <t>Выполнение специального обследования концентрации ДТП, выявленных на а/д общего пользования регионального значения ЛО и разработка мероприятий, направленных на их сокращение</t>
  </si>
  <si>
    <t>6.2.14</t>
  </si>
  <si>
    <t>Выполнение  обследования с разработкой сметных расчетов для восстановления и ремонта тротуаров, пешеходных дорожек на а/д общего пользования регионального значения "Подъезд к ст. Кузнечное" км2+000-км3+000</t>
  </si>
  <si>
    <t>6.2.15</t>
  </si>
  <si>
    <t>Резерв по ПИР</t>
  </si>
  <si>
    <t xml:space="preserve">ВСЕГО по Подпрограмме 3 (п.6)                                           </t>
  </si>
  <si>
    <t xml:space="preserve">Всего по ГП "Развитие автодорог в ЛО" </t>
  </si>
  <si>
    <t>385,321км/616,9пог.м</t>
  </si>
  <si>
    <t>268,2км</t>
  </si>
  <si>
    <t>Всего  субсидии бюджетам   МО</t>
  </si>
  <si>
    <t>169,544км/77,04пог.м</t>
  </si>
  <si>
    <t xml:space="preserve">II. ГП "Развитие сельского хозяйства Ленинградской области"  </t>
  </si>
  <si>
    <t>7</t>
  </si>
  <si>
    <t>Подпрограмма "Устойчивое развитие сельских территорий Ленинградской области на 2014-2017 годы и на период до 2020 года" (Субсидии МО) , всего, в т.ч.:</t>
  </si>
  <si>
    <t xml:space="preserve">63704 74290 522 251  63070500   </t>
  </si>
  <si>
    <t>9,3129км/26,5пог.м</t>
  </si>
  <si>
    <t>Субсидии на развитие сети а/д, ведущих к общественно значимым объектам сельских населенных пунктов, объектам пр-ва и переработки с/х продукции, в т.ч. на проектирование и стр-во (рек-цию) а/д  местного значения с тверд. покр. до сельских населен. пунктов, в т.ч.</t>
  </si>
  <si>
    <t>7.1.1.</t>
  </si>
  <si>
    <t>7.1.2.</t>
  </si>
  <si>
    <t>из п.7.1. по объектам:</t>
  </si>
  <si>
    <t>А). объекты 2015г., из них:</t>
  </si>
  <si>
    <t>1.</t>
  </si>
  <si>
    <t>Строительство автомобильной дороги "Подъезд к пос. Сопки" Выборгский район</t>
  </si>
  <si>
    <t>1,094км</t>
  </si>
  <si>
    <t>средства ОБ</t>
  </si>
  <si>
    <t>Строительство автомобильной дороги "Подъезд к пос. Яшино" Выборгский район</t>
  </si>
  <si>
    <t>0,284км/26,5пог.м</t>
  </si>
  <si>
    <t>Реконструкция автомобильной дороги "Подъезд к дер. Силино" Приозерский мун. район</t>
  </si>
  <si>
    <t xml:space="preserve">Работы выполнены. Ожидаемый ввод объекта в эксплуатацию  в 2018 г. Экономия средств по статье "непредвиденные затраты". </t>
  </si>
  <si>
    <t>1,648км</t>
  </si>
  <si>
    <t>Реконструкция автомобильной дороги "Подъезд к пос. Мехбаза"</t>
  </si>
  <si>
    <t>1,6км</t>
  </si>
  <si>
    <t>Б). объекты 2016г., из них:</t>
  </si>
  <si>
    <t>3</t>
  </si>
  <si>
    <t>Реконструкция автомобильной дороги "Подъезд к пос. Токарево" Советское г.п. Выборгский район</t>
  </si>
  <si>
    <t>1,8км</t>
  </si>
  <si>
    <t>средства ФБ</t>
  </si>
  <si>
    <t>Работы на объекте завершены.По результатам проверки Комитетом выявлены отклонения от проектных показателей, идет подготовка документов для передачи в прокуратуру. Экономия средств по статье "непредвиденные затраты"</t>
  </si>
  <si>
    <t>0,399км</t>
  </si>
  <si>
    <t>Реконструкция автомобильной дороги "Подъезд к пос. Клеверное" Выборгский район</t>
  </si>
  <si>
    <t xml:space="preserve">Работы на объекте выполнены на 85%. Низкие темпы выполнения работ, с отставанием от графика.  Ожидаемый ввод объекта в эксплуатацию  в 2019 г. </t>
  </si>
  <si>
    <t>1,062км</t>
  </si>
  <si>
    <t>В). объекты 2017г., из них:</t>
  </si>
  <si>
    <t>Реконструкция автомобильной дороги "Подъезд к пос. Луговое" Запорожское с.п. Приозерский мун. район</t>
  </si>
  <si>
    <t>До установленного Соглашением с ФДА срока, земельные участки, попадающие в зону реконструкции, по объективным причинам   не оформлены (проектом реконструкции участка а/д предусмотрен выкуп сельскохозяйственных земель. Руководство племенного завода «Гражданский», собственника части земель, требует изменить прохождение  трассы автомобильной  дороги, что влечет за собой корректировку проекта и невозможность его реализации в текущем году), подготовительные работы на объекте не начаты. Учитывая то, что обеспечить достижение целевых показателей результативности, установленных Соглашением, в части ввода объекта в эксплуатацию в текущем году не представляется возможным.</t>
  </si>
  <si>
    <t>1,426км</t>
  </si>
  <si>
    <t>Строительство автомобильной дороги "Подъезд к дер. Козарево" Волховский мун. район</t>
  </si>
  <si>
    <t>Низкие темпы выполнения работ подрядчиком, с отставанием от графика. Для ввода объекта в эксплуатацию в 2019 году необходимо решить вопрос с передачей в собственность МО региональной автомобильной дороги "Заднево-Хотово"</t>
  </si>
  <si>
    <t>ГП  "Обеспечение качественным жильем граждан на территории Ленинградской области".</t>
  </si>
  <si>
    <t>8</t>
  </si>
  <si>
    <t>Подпрограмма "Развитие инженерной, трансп. и социал. инфраструктуры в р-нах массовой жилой застройки". Мероприятие подпрограммы "Стимулирование программ развития жилищного строительства субъектов РФ" ФЦП "Жилище" на 2015 - 2020 годы</t>
  </si>
  <si>
    <t>0412</t>
  </si>
  <si>
    <t xml:space="preserve">Стр-во а/д нового выхода из Санкт-Петербурга от КАД в обход населенных пунктов Мурино и Новое
Девяткино с выходом на существующую а/д "Санкт-Петербург - Матокса" во Всеволожском районе
</t>
  </si>
  <si>
    <t>субсидии ФБ 2017</t>
  </si>
  <si>
    <t xml:space="preserve">ОБ </t>
  </si>
  <si>
    <t>III. Резервный фонд Правительства Ленинградской области.</t>
  </si>
  <si>
    <t>проведение неотложных и непредвиденных работ по ремонту а/д "аллея Воздухоплавателей" и "проезд Медицинский" в г. Гатчине</t>
  </si>
  <si>
    <t>аварийно-восстановительные работы на участках а/д общего пользования местного значения Лужского г.п.</t>
  </si>
  <si>
    <t>8.3</t>
  </si>
  <si>
    <t>уплата денежного взыскания за нарушение в 2017 году обязательств, предусмотренных Соглашениями с  ФДА</t>
  </si>
  <si>
    <t>8.4</t>
  </si>
  <si>
    <t>проведение неотложных и непредвиденных работ по ремонту мостового сооружения ч/р Ящера на км0+900 а/д "Болото-Табор" в Лужском р-не (заказчик - ГКУ "Ленавтодор")</t>
  </si>
  <si>
    <t>Борское с.п. Бокситогорского муниц. р-на</t>
  </si>
  <si>
    <t>IV. Непрограммные расходы.</t>
  </si>
  <si>
    <t>9</t>
  </si>
  <si>
    <t xml:space="preserve">Непрограммные расходы - исполнение судебных решений, администр. штрафов, субсидии на ликвидацию ЛО ГП "ДУИЦ" </t>
  </si>
  <si>
    <t>0113 6890110070</t>
  </si>
  <si>
    <t>9.1</t>
  </si>
  <si>
    <t>Исполнение судебных решений (831 296)</t>
  </si>
  <si>
    <t xml:space="preserve"> 831 290</t>
  </si>
  <si>
    <t>9.2</t>
  </si>
  <si>
    <t>Административные штрафы (853 295)</t>
  </si>
  <si>
    <t>853 290 и 852 290</t>
  </si>
  <si>
    <t>9.3</t>
  </si>
  <si>
    <t>Финансовое обеспечение затрат, связанных с ликвидацией ЛО ГП "ДУИЦ" (субсидии )</t>
  </si>
  <si>
    <t xml:space="preserve">уточнение плана года </t>
  </si>
  <si>
    <t>394,634м/643,4пог.м</t>
  </si>
  <si>
    <t>процент освоения от плана года</t>
  </si>
  <si>
    <t>в т. ч Дорожный фонд ЛО :</t>
  </si>
  <si>
    <t>в т.ч. Дорожный фонд за счет средств федерального бюджета</t>
  </si>
  <si>
    <t xml:space="preserve"> Дорожный фонд ЛО за счет средств областного бюджета</t>
  </si>
  <si>
    <t>в т.ч. а/д с тв.покр. к сельс. нас.пунктам</t>
  </si>
  <si>
    <t>Всего бюджетам  МО (субсидии МО+средства резервного фонда Правительства ЛО)</t>
  </si>
  <si>
    <t>178,857м/103,54пог.м</t>
  </si>
  <si>
    <t>непрограммные и резервный фонд</t>
  </si>
  <si>
    <t>А.В. Скажутин</t>
  </si>
  <si>
    <t>Кассовый план на июль 2018г.  (тыс.руб.)</t>
  </si>
  <si>
    <t>Исполнение кассового плана за июль 2018г.  (тыс.руб.)</t>
  </si>
  <si>
    <t>Исполнение кассовго плана за январь 2019</t>
  </si>
  <si>
    <t>Исполнение кассовго плана за январь 2020</t>
  </si>
  <si>
    <t>Исполнение кассовго плана за январь 2021</t>
  </si>
  <si>
    <t>Исполнение кассовго плана за январь 2022</t>
  </si>
  <si>
    <t>Исполнение кассовго плана за январь 2023</t>
  </si>
  <si>
    <t>Исполнение кассовго плана за январь 2024</t>
  </si>
  <si>
    <t>Исполнение кассовго плана за январь 2025</t>
  </si>
  <si>
    <t>% исполнения</t>
  </si>
  <si>
    <t>Информация по освоению кассового плана :</t>
  </si>
  <si>
    <t>(тыс. руб.)</t>
  </si>
  <si>
    <t>план за январь-июль 2017г.</t>
  </si>
  <si>
    <t>исполнение за январь-июль 2017г.</t>
  </si>
  <si>
    <t>% исполнения за январь-июль 2017г.</t>
  </si>
  <si>
    <t>план на август 2017г.</t>
  </si>
  <si>
    <t>исполнение за август 2017г.</t>
  </si>
  <si>
    <t>% исполнения за август  2017г.</t>
  </si>
  <si>
    <t>Кассовый план за январь- июль 2018г.  (тыс.руб.)</t>
  </si>
  <si>
    <t>Исполнение кассового плана за январь- июль 2018г.  (тыс.руб.)</t>
  </si>
  <si>
    <t>Утв. Бюджет 2018г. (№ 82-оз от 21.12.2017г. в ред. № 103-оз от 09.11.2018г.) с учетом изменений бюджетной росписи КДХ</t>
  </si>
  <si>
    <t xml:space="preserve">Исполнение бюджета за 2018г. </t>
  </si>
  <si>
    <r>
      <t>Резервный фонд Правительства ЛО:</t>
    </r>
    <r>
      <rPr>
        <b/>
        <i/>
        <sz val="13"/>
        <color rgb="FF002060"/>
        <rFont val="Arial Cyr"/>
        <charset val="204"/>
      </rPr>
      <t xml:space="preserve"> бюджетам МО - 18 173,9 тыс. руб. +денеж. взыскание ФДА - 9 297,4 тыс. руб.+мост ч/р Ящера - 9 522,1 тыс. руб.</t>
    </r>
  </si>
  <si>
    <t xml:space="preserve">Резервный фонд Правительства Ленинградской области"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</si>
</sst>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₽&quot;_-;\-* #,##0.00\ &quot;₽&quot;_-;_-* &quot;-&quot;??\ &quot;₽&quot;_-;_-@_-"/>
    <numFmt numFmtId="164" formatCode="#,##0.00000"/>
    <numFmt numFmtId="165" formatCode="0.0%"/>
    <numFmt numFmtId="166" formatCode="#,##0.0"/>
    <numFmt numFmtId="167" formatCode="#,##0.000"/>
    <numFmt numFmtId="168" formatCode="#,##0.000000"/>
    <numFmt numFmtId="169" formatCode="0.00000"/>
  </numFmts>
  <fonts count="14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4"/>
      <color rgb="FFFF0000"/>
      <name val="Arial"/>
      <family val="2"/>
      <charset val="204"/>
    </font>
    <font>
      <b/>
      <i/>
      <sz val="18"/>
      <name val="Arial Cyr"/>
      <charset val="204"/>
    </font>
    <font>
      <b/>
      <i/>
      <sz val="16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i/>
      <sz val="11"/>
      <name val="Arial Cyr"/>
      <charset val="204"/>
    </font>
    <font>
      <sz val="11"/>
      <name val="Arial Cyr"/>
      <charset val="204"/>
    </font>
    <font>
      <b/>
      <i/>
      <sz val="14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i/>
      <sz val="14"/>
      <name val="Arial Cyr"/>
      <charset val="204"/>
    </font>
    <font>
      <sz val="14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i/>
      <sz val="16"/>
      <color rgb="FFFF0000"/>
      <name val="Arial"/>
      <family val="2"/>
      <charset val="204"/>
    </font>
    <font>
      <b/>
      <i/>
      <sz val="14"/>
      <color rgb="FFFF0000"/>
      <name val="Calibri"/>
      <family val="2"/>
      <charset val="204"/>
      <scheme val="minor"/>
    </font>
    <font>
      <b/>
      <i/>
      <sz val="14"/>
      <color rgb="FF7030A0"/>
      <name val="Arial"/>
      <family val="2"/>
      <charset val="204"/>
    </font>
    <font>
      <b/>
      <i/>
      <sz val="14"/>
      <color rgb="FF00B0F0"/>
      <name val="Arial"/>
      <family val="2"/>
      <charset val="204"/>
    </font>
    <font>
      <b/>
      <i/>
      <sz val="14"/>
      <name val="Arial"/>
      <family val="2"/>
      <charset val="204"/>
    </font>
    <font>
      <b/>
      <sz val="11"/>
      <color theme="5" tint="-0.249977111117893"/>
      <name val="Calibri"/>
      <family val="2"/>
      <charset val="204"/>
      <scheme val="minor"/>
    </font>
    <font>
      <b/>
      <i/>
      <sz val="14"/>
      <color theme="5" tint="-0.249977111117893"/>
      <name val="Arial Cyr"/>
      <charset val="204"/>
    </font>
    <font>
      <b/>
      <sz val="14"/>
      <color theme="5" tint="-0.249977111117893"/>
      <name val="Arial Cyr"/>
      <charset val="204"/>
    </font>
    <font>
      <b/>
      <sz val="14"/>
      <color theme="5" tint="-0.249977111117893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b/>
      <i/>
      <sz val="14"/>
      <color rgb="FF002060"/>
      <name val="Arial Cyr"/>
      <charset val="204"/>
    </font>
    <font>
      <b/>
      <sz val="14"/>
      <color rgb="FF002060"/>
      <name val="Arial Cyr"/>
      <charset val="204"/>
    </font>
    <font>
      <b/>
      <sz val="14"/>
      <color rgb="FF00206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4"/>
      <color rgb="FFFF0000"/>
      <name val="Arial Cyr"/>
      <charset val="204"/>
    </font>
    <font>
      <b/>
      <sz val="14"/>
      <color rgb="FFFF0000"/>
      <name val="Arial Cyr"/>
      <charset val="204"/>
    </font>
    <font>
      <b/>
      <sz val="14"/>
      <color rgb="FFFF0000"/>
      <name val="Calibri"/>
      <family val="2"/>
      <charset val="204"/>
      <scheme val="minor"/>
    </font>
    <font>
      <b/>
      <i/>
      <sz val="14"/>
      <color rgb="FF7030A0"/>
      <name val="Arial Cyr"/>
      <charset val="204"/>
    </font>
    <font>
      <b/>
      <i/>
      <sz val="13"/>
      <color rgb="FF7030A0"/>
      <name val="Arial Cyr"/>
      <charset val="204"/>
    </font>
    <font>
      <sz val="11"/>
      <color rgb="FF002060"/>
      <name val="Calibri"/>
      <family val="2"/>
      <charset val="204"/>
      <scheme val="minor"/>
    </font>
    <font>
      <i/>
      <sz val="14"/>
      <color rgb="FF002060"/>
      <name val="Arial Cyr"/>
      <charset val="204"/>
    </font>
    <font>
      <sz val="14"/>
      <color rgb="FF002060"/>
      <name val="Calibri"/>
      <family val="2"/>
      <charset val="204"/>
      <scheme val="minor"/>
    </font>
    <font>
      <b/>
      <i/>
      <sz val="13"/>
      <color rgb="FF002060"/>
      <name val="Arial Cyr"/>
      <charset val="204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rgb="FF7030A0"/>
      <name val="Arial Cyr"/>
      <charset val="204"/>
    </font>
    <font>
      <i/>
      <sz val="14"/>
      <color rgb="FF7030A0"/>
      <name val="Arial Cyr"/>
      <charset val="204"/>
    </font>
    <font>
      <i/>
      <sz val="14"/>
      <color rgb="FFFF0000"/>
      <name val="Arial Cyr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3"/>
      <name val="Arial Cyr"/>
      <charset val="204"/>
    </font>
    <font>
      <b/>
      <sz val="13"/>
      <name val="Arial Cyr"/>
      <charset val="204"/>
    </font>
    <font>
      <i/>
      <sz val="13"/>
      <name val="Arial Cyr"/>
      <charset val="204"/>
    </font>
    <font>
      <sz val="13"/>
      <name val="Arial Cyr"/>
      <charset val="204"/>
    </font>
    <font>
      <b/>
      <i/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i/>
      <sz val="12"/>
      <color rgb="FFFF0000"/>
      <name val="Arial Cyr"/>
      <charset val="204"/>
    </font>
    <font>
      <b/>
      <i/>
      <sz val="13"/>
      <color rgb="FFFF0000"/>
      <name val="Arial Cyr"/>
      <charset val="204"/>
    </font>
    <font>
      <b/>
      <sz val="13"/>
      <color rgb="FFFF0000"/>
      <name val="Arial Cyr"/>
      <charset val="204"/>
    </font>
    <font>
      <sz val="13"/>
      <color rgb="FF7030A0"/>
      <name val="Arial Cyr"/>
      <charset val="204"/>
    </font>
    <font>
      <i/>
      <sz val="13"/>
      <color rgb="FF7030A0"/>
      <name val="Arial Cyr"/>
      <charset val="204"/>
    </font>
    <font>
      <sz val="14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3"/>
      <color rgb="FFC00000"/>
      <name val="Arial Cyr"/>
      <charset val="204"/>
    </font>
    <font>
      <i/>
      <sz val="13"/>
      <color rgb="FFC00000"/>
      <name val="Arial Cyr"/>
      <charset val="204"/>
    </font>
    <font>
      <i/>
      <sz val="13"/>
      <color rgb="FF002060"/>
      <name val="Arial Cyr"/>
      <charset val="204"/>
    </font>
    <font>
      <b/>
      <sz val="14"/>
      <color rgb="FF7030A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i/>
      <sz val="14"/>
      <color theme="3" tint="-0.499984740745262"/>
      <name val="Arial Cyr"/>
      <charset val="204"/>
    </font>
    <font>
      <b/>
      <i/>
      <sz val="13"/>
      <color theme="3" tint="-0.499984740745262"/>
      <name val="Arial Cyr"/>
      <charset val="204"/>
    </font>
    <font>
      <b/>
      <i/>
      <sz val="14"/>
      <color theme="3" tint="-0.499984740745262"/>
      <name val="Calibri"/>
      <family val="2"/>
      <charset val="204"/>
      <scheme val="minor"/>
    </font>
    <font>
      <b/>
      <i/>
      <sz val="11"/>
      <color theme="3" tint="-0.499984740745262"/>
      <name val="Calibri"/>
      <family val="2"/>
      <charset val="204"/>
      <scheme val="minor"/>
    </font>
    <font>
      <i/>
      <sz val="13"/>
      <color rgb="FFFF0000"/>
      <name val="Arial Cyr"/>
      <charset val="204"/>
    </font>
    <font>
      <sz val="14"/>
      <color rgb="FF7030A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sz val="13"/>
      <color rgb="FF002060"/>
      <name val="Arial Cyr"/>
      <charset val="204"/>
    </font>
    <font>
      <b/>
      <i/>
      <sz val="13"/>
      <color theme="5" tint="-0.249977111117893"/>
      <name val="Arial Cyr"/>
      <charset val="204"/>
    </font>
    <font>
      <b/>
      <sz val="13"/>
      <color theme="5" tint="-0.249977111117893"/>
      <name val="Arial Cyr"/>
      <charset val="204"/>
    </font>
    <font>
      <b/>
      <i/>
      <sz val="14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4"/>
      <color theme="5" tint="-0.249977111117893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b/>
      <i/>
      <sz val="14"/>
      <color theme="5" tint="-0.249977111117893"/>
      <name val="Calibri"/>
      <family val="2"/>
      <charset val="204"/>
      <scheme val="minor"/>
    </font>
    <font>
      <b/>
      <i/>
      <sz val="11"/>
      <color theme="5" tint="-0.249977111117893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color rgb="FFFF0000"/>
      <name val="Arial Cyr"/>
      <charset val="204"/>
    </font>
    <font>
      <b/>
      <i/>
      <sz val="12"/>
      <color rgb="FF7030A0"/>
      <name val="Arial Cyr"/>
      <charset val="204"/>
    </font>
    <font>
      <b/>
      <sz val="13"/>
      <color rgb="FF7030A0"/>
      <name val="Arial Cyr"/>
      <charset val="204"/>
    </font>
    <font>
      <b/>
      <i/>
      <sz val="10"/>
      <name val="Arial Cyr"/>
      <charset val="204"/>
    </font>
    <font>
      <b/>
      <i/>
      <sz val="14"/>
      <color rgb="FF002060"/>
      <name val="Calibri"/>
      <family val="2"/>
      <charset val="204"/>
      <scheme val="minor"/>
    </font>
    <font>
      <b/>
      <i/>
      <sz val="11"/>
      <color rgb="FF002060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4"/>
      <color rgb="FF002060"/>
      <name val="Arial Cyr"/>
      <charset val="204"/>
    </font>
    <font>
      <sz val="14"/>
      <color rgb="FF7030A0"/>
      <name val="Arial Cyr"/>
      <charset val="204"/>
    </font>
    <font>
      <b/>
      <i/>
      <sz val="14"/>
      <color rgb="FF002060"/>
      <name val="Arial Сyr"/>
      <charset val="204"/>
    </font>
    <font>
      <b/>
      <i/>
      <sz val="14"/>
      <color rgb="FFFF0000"/>
      <name val="Arial Сyr"/>
      <charset val="204"/>
    </font>
    <font>
      <b/>
      <i/>
      <sz val="14"/>
      <color rgb="FF00B0F0"/>
      <name val="Arial Сyr"/>
      <charset val="204"/>
    </font>
    <font>
      <b/>
      <i/>
      <sz val="16"/>
      <color rgb="FF00B0F0"/>
      <name val="Arial Сyr"/>
      <charset val="204"/>
    </font>
    <font>
      <b/>
      <i/>
      <sz val="14"/>
      <color theme="5" tint="-0.249977111117893"/>
      <name val="Arial Сyr"/>
      <charset val="204"/>
    </font>
    <font>
      <b/>
      <i/>
      <sz val="14"/>
      <color theme="5" tint="-0.249977111117893"/>
      <name val="Arial С"/>
      <charset val="204"/>
    </font>
    <font>
      <i/>
      <sz val="14"/>
      <color theme="5" tint="-0.249977111117893"/>
      <name val="Arial С"/>
      <charset val="204"/>
    </font>
    <font>
      <i/>
      <sz val="16"/>
      <color theme="5" tint="-0.249977111117893"/>
      <name val="Arial С"/>
      <charset val="204"/>
    </font>
    <font>
      <b/>
      <i/>
      <sz val="14"/>
      <color rgb="FFFF0000"/>
      <name val="Arial С"/>
      <charset val="204"/>
    </font>
    <font>
      <b/>
      <i/>
      <sz val="16"/>
      <color rgb="FFFF0000"/>
      <name val="Arial С"/>
      <charset val="204"/>
    </font>
    <font>
      <b/>
      <i/>
      <sz val="14"/>
      <name val="Arial Сyr"/>
      <charset val="204"/>
    </font>
    <font>
      <b/>
      <i/>
      <sz val="14"/>
      <name val="Arial С"/>
      <charset val="204"/>
    </font>
    <font>
      <b/>
      <i/>
      <sz val="16"/>
      <name val="Arial С"/>
      <charset val="204"/>
    </font>
    <font>
      <i/>
      <sz val="14"/>
      <name val="Arial Сyr"/>
      <charset val="204"/>
    </font>
    <font>
      <i/>
      <sz val="14"/>
      <name val="Arial С"/>
      <charset val="204"/>
    </font>
    <font>
      <i/>
      <sz val="16"/>
      <name val="Arial С"/>
      <charset val="204"/>
    </font>
    <font>
      <b/>
      <i/>
      <sz val="14"/>
      <color rgb="FF002060"/>
      <name val="Arial С"/>
      <charset val="204"/>
    </font>
    <font>
      <i/>
      <sz val="14"/>
      <color rgb="FF002060"/>
      <name val="Arial С"/>
      <charset val="204"/>
    </font>
    <font>
      <i/>
      <sz val="16"/>
      <color rgb="FF002060"/>
      <name val="Arial С"/>
      <charset val="204"/>
    </font>
    <font>
      <i/>
      <sz val="18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i/>
      <sz val="13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b/>
      <i/>
      <sz val="13"/>
      <color rgb="FFFF000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3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6"/>
      <name val="Arial Сyr"/>
      <charset val="204"/>
    </font>
    <font>
      <sz val="11"/>
      <color rgb="FF000000"/>
      <name val="Calibri"/>
      <family val="2"/>
      <scheme val="minor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46" fillId="0" borderId="0"/>
    <xf numFmtId="0" fontId="1" fillId="0" borderId="0"/>
    <xf numFmtId="0" fontId="147" fillId="0" borderId="0"/>
    <xf numFmtId="9" fontId="1" fillId="0" borderId="0" applyFont="0" applyFill="0" applyBorder="0" applyAlignment="0" applyProtection="0"/>
  </cellStyleXfs>
  <cellXfs count="1273">
    <xf numFmtId="0" fontId="0" fillId="0" borderId="0" xfId="0"/>
    <xf numFmtId="0" fontId="1" fillId="0" borderId="0" xfId="3"/>
    <xf numFmtId="49" fontId="4" fillId="0" borderId="0" xfId="3" applyNumberFormat="1" applyFont="1" applyAlignment="1">
      <alignment horizontal="center"/>
    </xf>
    <xf numFmtId="0" fontId="5" fillId="0" borderId="0" xfId="3" applyFont="1"/>
    <xf numFmtId="49" fontId="5" fillId="0" borderId="0" xfId="3" applyNumberFormat="1" applyFont="1"/>
    <xf numFmtId="164" fontId="5" fillId="0" borderId="0" xfId="3" applyNumberFormat="1" applyFont="1"/>
    <xf numFmtId="164" fontId="1" fillId="0" borderId="0" xfId="3" applyNumberFormat="1"/>
    <xf numFmtId="164" fontId="0" fillId="0" borderId="0" xfId="4" applyNumberFormat="1" applyFont="1"/>
    <xf numFmtId="164" fontId="1" fillId="0" borderId="0" xfId="3" applyNumberFormat="1" applyFont="1"/>
    <xf numFmtId="164" fontId="6" fillId="0" borderId="0" xfId="4" applyNumberFormat="1" applyFont="1"/>
    <xf numFmtId="165" fontId="1" fillId="0" borderId="0" xfId="3" applyNumberFormat="1" applyFont="1"/>
    <xf numFmtId="165" fontId="6" fillId="0" borderId="0" xfId="4" applyNumberFormat="1" applyFont="1"/>
    <xf numFmtId="165" fontId="6" fillId="0" borderId="0" xfId="3" applyNumberFormat="1" applyFont="1"/>
    <xf numFmtId="165" fontId="7" fillId="0" borderId="0" xfId="0" applyNumberFormat="1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 wrapText="1"/>
    </xf>
    <xf numFmtId="0" fontId="1" fillId="0" borderId="0" xfId="3" applyBorder="1"/>
    <xf numFmtId="164" fontId="9" fillId="0" borderId="0" xfId="3" applyNumberFormat="1" applyFont="1" applyBorder="1" applyAlignment="1">
      <alignment horizontal="center" vertical="center" wrapText="1"/>
    </xf>
    <xf numFmtId="165" fontId="9" fillId="0" borderId="0" xfId="3" applyNumberFormat="1" applyFont="1" applyBorder="1" applyAlignment="1">
      <alignment horizontal="center" vertical="center" wrapText="1"/>
    </xf>
    <xf numFmtId="49" fontId="10" fillId="2" borderId="2" xfId="3" applyNumberFormat="1" applyFont="1" applyFill="1" applyBorder="1" applyAlignment="1">
      <alignment horizontal="center" vertical="center" wrapText="1"/>
    </xf>
    <xf numFmtId="164" fontId="12" fillId="2" borderId="4" xfId="3" applyNumberFormat="1" applyFont="1" applyFill="1" applyBorder="1" applyAlignment="1">
      <alignment horizontal="center" vertical="center" wrapText="1"/>
    </xf>
    <xf numFmtId="164" fontId="12" fillId="0" borderId="4" xfId="3" applyNumberFormat="1" applyFont="1" applyFill="1" applyBorder="1" applyAlignment="1">
      <alignment horizontal="center" vertical="center" wrapText="1"/>
    </xf>
    <xf numFmtId="165" fontId="12" fillId="2" borderId="4" xfId="3" applyNumberFormat="1" applyFont="1" applyFill="1" applyBorder="1" applyAlignment="1">
      <alignment horizontal="center" vertical="center" wrapText="1"/>
    </xf>
    <xf numFmtId="49" fontId="10" fillId="2" borderId="11" xfId="3" applyNumberFormat="1" applyFont="1" applyFill="1" applyBorder="1" applyAlignment="1">
      <alignment horizontal="center" vertical="center" wrapText="1"/>
    </xf>
    <xf numFmtId="164" fontId="12" fillId="2" borderId="13" xfId="3" applyNumberFormat="1" applyFont="1" applyFill="1" applyBorder="1" applyAlignment="1">
      <alignment horizontal="center" vertical="center" wrapText="1"/>
    </xf>
    <xf numFmtId="164" fontId="12" fillId="0" borderId="13" xfId="3" applyNumberFormat="1" applyFont="1" applyFill="1" applyBorder="1" applyAlignment="1">
      <alignment horizontal="center" vertical="center" wrapText="1"/>
    </xf>
    <xf numFmtId="165" fontId="13" fillId="2" borderId="13" xfId="4" applyNumberFormat="1" applyFont="1" applyFill="1" applyBorder="1" applyAlignment="1">
      <alignment horizontal="center" vertical="center" wrapText="1"/>
    </xf>
    <xf numFmtId="165" fontId="13" fillId="2" borderId="13" xfId="3" applyNumberFormat="1" applyFont="1" applyFill="1" applyBorder="1" applyAlignment="1">
      <alignment horizontal="center" vertical="center" wrapText="1"/>
    </xf>
    <xf numFmtId="164" fontId="12" fillId="0" borderId="14" xfId="3" applyNumberFormat="1" applyFont="1" applyFill="1" applyBorder="1" applyAlignment="1">
      <alignment horizontal="center" vertical="center" wrapText="1"/>
    </xf>
    <xf numFmtId="164" fontId="12" fillId="2" borderId="14" xfId="3" applyNumberFormat="1" applyFont="1" applyFill="1" applyBorder="1" applyAlignment="1">
      <alignment horizontal="center" vertical="center" wrapText="1"/>
    </xf>
    <xf numFmtId="164" fontId="12" fillId="0" borderId="15" xfId="3" applyNumberFormat="1" applyFont="1" applyFill="1" applyBorder="1" applyAlignment="1">
      <alignment horizontal="center" vertical="center" wrapText="1"/>
    </xf>
    <xf numFmtId="164" fontId="13" fillId="2" borderId="13" xfId="4" applyNumberFormat="1" applyFont="1" applyFill="1" applyBorder="1" applyAlignment="1">
      <alignment horizontal="center" vertical="center" wrapText="1"/>
    </xf>
    <xf numFmtId="49" fontId="1" fillId="0" borderId="0" xfId="3" applyNumberFormat="1"/>
    <xf numFmtId="49" fontId="4" fillId="0" borderId="18" xfId="3" applyNumberFormat="1" applyFont="1" applyBorder="1" applyAlignment="1">
      <alignment horizontal="center" vertical="center"/>
    </xf>
    <xf numFmtId="49" fontId="4" fillId="0" borderId="19" xfId="3" applyNumberFormat="1" applyFont="1" applyBorder="1" applyAlignment="1">
      <alignment horizontal="center" vertical="center"/>
    </xf>
    <xf numFmtId="0" fontId="4" fillId="0" borderId="19" xfId="3" applyNumberFormat="1" applyFont="1" applyBorder="1" applyAlignment="1">
      <alignment horizontal="center" vertical="center"/>
    </xf>
    <xf numFmtId="0" fontId="4" fillId="0" borderId="19" xfId="3" applyNumberFormat="1" applyFont="1" applyFill="1" applyBorder="1" applyAlignment="1">
      <alignment horizontal="center" vertical="center"/>
    </xf>
    <xf numFmtId="49" fontId="4" fillId="0" borderId="19" xfId="3" applyNumberFormat="1" applyFont="1" applyFill="1" applyBorder="1" applyAlignment="1">
      <alignment horizontal="center" vertical="center"/>
    </xf>
    <xf numFmtId="0" fontId="3" fillId="0" borderId="19" xfId="3" applyNumberFormat="1" applyFont="1" applyBorder="1" applyAlignment="1">
      <alignment horizontal="center" vertical="center"/>
    </xf>
    <xf numFmtId="0" fontId="3" fillId="0" borderId="19" xfId="4" applyNumberFormat="1" applyFont="1" applyBorder="1" applyAlignment="1">
      <alignment horizontal="center" vertical="center"/>
    </xf>
    <xf numFmtId="164" fontId="12" fillId="0" borderId="20" xfId="3" applyNumberFormat="1" applyFont="1" applyFill="1" applyBorder="1" applyAlignment="1">
      <alignment vertical="center" wrapText="1"/>
    </xf>
    <xf numFmtId="0" fontId="3" fillId="0" borderId="21" xfId="3" applyNumberFormat="1" applyFont="1" applyBorder="1" applyAlignment="1">
      <alignment horizontal="center" vertical="center"/>
    </xf>
    <xf numFmtId="0" fontId="3" fillId="0" borderId="22" xfId="3" applyNumberFormat="1" applyFont="1" applyBorder="1" applyAlignment="1">
      <alignment horizontal="center" vertical="center"/>
    </xf>
    <xf numFmtId="0" fontId="5" fillId="0" borderId="0" xfId="3" applyFont="1" applyFill="1"/>
    <xf numFmtId="164" fontId="15" fillId="0" borderId="25" xfId="3" applyNumberFormat="1" applyFont="1" applyFill="1" applyBorder="1" applyAlignment="1">
      <alignment horizontal="center" vertical="center" wrapText="1"/>
    </xf>
    <xf numFmtId="164" fontId="14" fillId="0" borderId="25" xfId="3" applyNumberFormat="1" applyFont="1" applyFill="1" applyBorder="1" applyAlignment="1">
      <alignment horizontal="center" vertical="center" wrapText="1"/>
    </xf>
    <xf numFmtId="166" fontId="14" fillId="0" borderId="25" xfId="3" applyNumberFormat="1" applyFont="1" applyFill="1" applyBorder="1" applyAlignment="1">
      <alignment horizontal="center" vertical="center" wrapText="1"/>
    </xf>
    <xf numFmtId="166" fontId="14" fillId="0" borderId="25" xfId="2" applyNumberFormat="1" applyFont="1" applyFill="1" applyBorder="1" applyAlignment="1">
      <alignment horizontal="center" vertical="center" wrapText="1"/>
    </xf>
    <xf numFmtId="165" fontId="14" fillId="0" borderId="26" xfId="2" applyNumberFormat="1" applyFont="1" applyFill="1" applyBorder="1" applyAlignment="1">
      <alignment horizontal="center" vertical="center" wrapText="1"/>
    </xf>
    <xf numFmtId="9" fontId="14" fillId="0" borderId="25" xfId="2" applyNumberFormat="1" applyFont="1" applyFill="1" applyBorder="1" applyAlignment="1">
      <alignment horizontal="center" vertical="center" wrapText="1"/>
    </xf>
    <xf numFmtId="9" fontId="14" fillId="0" borderId="26" xfId="2" applyNumberFormat="1" applyFont="1" applyFill="1" applyBorder="1" applyAlignment="1">
      <alignment horizontal="center" vertical="center" wrapText="1"/>
    </xf>
    <xf numFmtId="165" fontId="14" fillId="0" borderId="25" xfId="2" applyNumberFormat="1" applyFont="1" applyFill="1" applyBorder="1" applyAlignment="1">
      <alignment horizontal="center" vertical="center" wrapText="1"/>
    </xf>
    <xf numFmtId="164" fontId="17" fillId="0" borderId="27" xfId="3" applyNumberFormat="1" applyFont="1" applyFill="1" applyBorder="1" applyAlignment="1">
      <alignment horizontal="center" vertical="center" wrapText="1"/>
    </xf>
    <xf numFmtId="9" fontId="14" fillId="0" borderId="14" xfId="2" applyFont="1" applyFill="1" applyBorder="1" applyAlignment="1">
      <alignment horizontal="center" vertical="center" wrapText="1"/>
    </xf>
    <xf numFmtId="164" fontId="14" fillId="0" borderId="14" xfId="3" applyNumberFormat="1" applyFont="1" applyFill="1" applyBorder="1" applyAlignment="1">
      <alignment horizontal="center" vertical="center" wrapText="1"/>
    </xf>
    <xf numFmtId="166" fontId="14" fillId="0" borderId="14" xfId="3" applyNumberFormat="1" applyFont="1" applyFill="1" applyBorder="1" applyAlignment="1">
      <alignment horizontal="center" vertical="center" wrapText="1"/>
    </xf>
    <xf numFmtId="0" fontId="18" fillId="0" borderId="14" xfId="3" applyFont="1" applyFill="1" applyBorder="1"/>
    <xf numFmtId="0" fontId="18" fillId="0" borderId="17" xfId="3" applyFont="1" applyFill="1" applyBorder="1"/>
    <xf numFmtId="166" fontId="5" fillId="0" borderId="0" xfId="3" applyNumberFormat="1" applyFont="1" applyFill="1"/>
    <xf numFmtId="49" fontId="19" fillId="0" borderId="0" xfId="0" applyNumberFormat="1" applyFont="1"/>
    <xf numFmtId="49" fontId="21" fillId="0" borderId="14" xfId="0" applyNumberFormat="1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/>
    </xf>
    <xf numFmtId="9" fontId="22" fillId="0" borderId="14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65" fontId="23" fillId="0" borderId="14" xfId="0" applyNumberFormat="1" applyFont="1" applyBorder="1" applyAlignment="1">
      <alignment horizontal="center" vertical="center"/>
    </xf>
    <xf numFmtId="165" fontId="22" fillId="0" borderId="14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horizontal="center" vertical="center"/>
    </xf>
    <xf numFmtId="165" fontId="24" fillId="0" borderId="14" xfId="2" applyNumberFormat="1" applyFont="1" applyBorder="1" applyAlignment="1">
      <alignment horizontal="center" vertical="center"/>
    </xf>
    <xf numFmtId="9" fontId="21" fillId="0" borderId="14" xfId="2" applyNumberFormat="1" applyFont="1" applyBorder="1" applyAlignment="1">
      <alignment horizontal="center" vertical="center"/>
    </xf>
    <xf numFmtId="49" fontId="21" fillId="0" borderId="29" xfId="0" applyNumberFormat="1" applyFont="1" applyBorder="1"/>
    <xf numFmtId="49" fontId="21" fillId="0" borderId="0" xfId="0" applyNumberFormat="1" applyFont="1" applyBorder="1"/>
    <xf numFmtId="49" fontId="21" fillId="0" borderId="30" xfId="0" applyNumberFormat="1" applyFont="1" applyBorder="1"/>
    <xf numFmtId="0" fontId="25" fillId="0" borderId="0" xfId="3" applyFont="1" applyFill="1"/>
    <xf numFmtId="164" fontId="27" fillId="0" borderId="25" xfId="3" applyNumberFormat="1" applyFont="1" applyFill="1" applyBorder="1" applyAlignment="1">
      <alignment horizontal="center" vertical="center" wrapText="1"/>
    </xf>
    <xf numFmtId="164" fontId="26" fillId="0" borderId="25" xfId="3" applyNumberFormat="1" applyFont="1" applyFill="1" applyBorder="1" applyAlignment="1">
      <alignment horizontal="center" vertical="center" wrapText="1"/>
    </xf>
    <xf numFmtId="166" fontId="26" fillId="0" borderId="25" xfId="3" applyNumberFormat="1" applyFont="1" applyFill="1" applyBorder="1" applyAlignment="1">
      <alignment horizontal="center" vertical="center" wrapText="1"/>
    </xf>
    <xf numFmtId="166" fontId="26" fillId="0" borderId="25" xfId="2" applyNumberFormat="1" applyFont="1" applyFill="1" applyBorder="1" applyAlignment="1">
      <alignment horizontal="center" vertical="center" wrapText="1"/>
    </xf>
    <xf numFmtId="166" fontId="26" fillId="0" borderId="27" xfId="2" applyNumberFormat="1" applyFont="1" applyFill="1" applyBorder="1" applyAlignment="1">
      <alignment horizontal="center" vertical="center" wrapText="1"/>
    </xf>
    <xf numFmtId="166" fontId="26" fillId="0" borderId="24" xfId="3" applyNumberFormat="1" applyFont="1" applyFill="1" applyBorder="1" applyAlignment="1">
      <alignment horizontal="center" vertical="center" wrapText="1"/>
    </xf>
    <xf numFmtId="165" fontId="26" fillId="0" borderId="26" xfId="2" applyNumberFormat="1" applyFont="1" applyFill="1" applyBorder="1" applyAlignment="1">
      <alignment horizontal="center" vertical="center" wrapText="1"/>
    </xf>
    <xf numFmtId="9" fontId="26" fillId="0" borderId="26" xfId="2" applyNumberFormat="1" applyFont="1" applyFill="1" applyBorder="1" applyAlignment="1">
      <alignment horizontal="center" vertical="center" wrapText="1"/>
    </xf>
    <xf numFmtId="164" fontId="26" fillId="0" borderId="27" xfId="3" applyNumberFormat="1" applyFont="1" applyFill="1" applyBorder="1" applyAlignment="1">
      <alignment horizontal="center" vertical="center" wrapText="1"/>
    </xf>
    <xf numFmtId="9" fontId="26" fillId="0" borderId="14" xfId="2" applyFont="1" applyFill="1" applyBorder="1" applyAlignment="1">
      <alignment horizontal="center" vertical="center" wrapText="1"/>
    </xf>
    <xf numFmtId="164" fontId="26" fillId="0" borderId="14" xfId="3" applyNumberFormat="1" applyFont="1" applyFill="1" applyBorder="1" applyAlignment="1">
      <alignment horizontal="center" vertical="center" wrapText="1"/>
    </xf>
    <xf numFmtId="166" fontId="26" fillId="0" borderId="14" xfId="3" applyNumberFormat="1" applyFont="1" applyFill="1" applyBorder="1" applyAlignment="1">
      <alignment horizontal="center" vertical="center" wrapText="1"/>
    </xf>
    <xf numFmtId="0" fontId="28" fillId="0" borderId="14" xfId="3" applyFont="1" applyFill="1" applyBorder="1"/>
    <xf numFmtId="0" fontId="28" fillId="0" borderId="17" xfId="3" applyFont="1" applyFill="1" applyBorder="1"/>
    <xf numFmtId="166" fontId="25" fillId="0" borderId="0" xfId="3" applyNumberFormat="1" applyFont="1" applyFill="1"/>
    <xf numFmtId="0" fontId="29" fillId="0" borderId="0" xfId="3" applyFont="1" applyFill="1"/>
    <xf numFmtId="164" fontId="31" fillId="0" borderId="25" xfId="3" applyNumberFormat="1" applyFont="1" applyFill="1" applyBorder="1" applyAlignment="1">
      <alignment horizontal="center" vertical="center" wrapText="1"/>
    </xf>
    <xf numFmtId="166" fontId="30" fillId="0" borderId="25" xfId="3" applyNumberFormat="1" applyFont="1" applyFill="1" applyBorder="1" applyAlignment="1">
      <alignment horizontal="center" vertical="center" wrapText="1"/>
    </xf>
    <xf numFmtId="166" fontId="30" fillId="0" borderId="25" xfId="2" applyNumberFormat="1" applyFont="1" applyFill="1" applyBorder="1" applyAlignment="1">
      <alignment horizontal="center" vertical="center" wrapText="1"/>
    </xf>
    <xf numFmtId="166" fontId="30" fillId="0" borderId="27" xfId="2" applyNumberFormat="1" applyFont="1" applyFill="1" applyBorder="1" applyAlignment="1">
      <alignment horizontal="center" vertical="center" wrapText="1"/>
    </xf>
    <xf numFmtId="166" fontId="30" fillId="0" borderId="24" xfId="3" applyNumberFormat="1" applyFont="1" applyFill="1" applyBorder="1" applyAlignment="1">
      <alignment horizontal="center" vertical="center" wrapText="1"/>
    </xf>
    <xf numFmtId="165" fontId="30" fillId="0" borderId="26" xfId="2" applyNumberFormat="1" applyFont="1" applyFill="1" applyBorder="1" applyAlignment="1">
      <alignment horizontal="center" vertical="center" wrapText="1"/>
    </xf>
    <xf numFmtId="9" fontId="30" fillId="0" borderId="26" xfId="2" applyNumberFormat="1" applyFont="1" applyFill="1" applyBorder="1" applyAlignment="1">
      <alignment horizontal="center" vertical="center" wrapText="1"/>
    </xf>
    <xf numFmtId="164" fontId="30" fillId="0" borderId="31" xfId="3" applyNumberFormat="1" applyFont="1" applyFill="1" applyBorder="1" applyAlignment="1">
      <alignment horizontal="center" vertical="center" wrapText="1"/>
    </xf>
    <xf numFmtId="9" fontId="30" fillId="0" borderId="14" xfId="2" applyFont="1" applyFill="1" applyBorder="1" applyAlignment="1">
      <alignment horizontal="center" vertical="center" wrapText="1"/>
    </xf>
    <xf numFmtId="164" fontId="30" fillId="0" borderId="14" xfId="3" applyNumberFormat="1" applyFont="1" applyFill="1" applyBorder="1" applyAlignment="1">
      <alignment horizontal="center" vertical="center" wrapText="1"/>
    </xf>
    <xf numFmtId="166" fontId="30" fillId="0" borderId="14" xfId="3" applyNumberFormat="1" applyFont="1" applyFill="1" applyBorder="1" applyAlignment="1">
      <alignment horizontal="center" vertical="center" wrapText="1"/>
    </xf>
    <xf numFmtId="0" fontId="32" fillId="0" borderId="14" xfId="3" applyFont="1" applyFill="1" applyBorder="1"/>
    <xf numFmtId="0" fontId="32" fillId="0" borderId="17" xfId="3" applyFont="1" applyFill="1" applyBorder="1"/>
    <xf numFmtId="166" fontId="29" fillId="0" borderId="0" xfId="3" applyNumberFormat="1" applyFont="1" applyFill="1"/>
    <xf numFmtId="164" fontId="29" fillId="0" borderId="0" xfId="3" applyNumberFormat="1" applyFont="1" applyFill="1"/>
    <xf numFmtId="0" fontId="33" fillId="0" borderId="0" xfId="3" applyFont="1" applyFill="1"/>
    <xf numFmtId="164" fontId="35" fillId="0" borderId="25" xfId="3" applyNumberFormat="1" applyFont="1" applyFill="1" applyBorder="1" applyAlignment="1">
      <alignment horizontal="center" vertical="center" wrapText="1"/>
    </xf>
    <xf numFmtId="164" fontId="34" fillId="0" borderId="25" xfId="3" applyNumberFormat="1" applyFont="1" applyFill="1" applyBorder="1" applyAlignment="1">
      <alignment horizontal="center" vertical="center" wrapText="1"/>
    </xf>
    <xf numFmtId="166" fontId="34" fillId="0" borderId="25" xfId="3" applyNumberFormat="1" applyFont="1" applyFill="1" applyBorder="1" applyAlignment="1">
      <alignment horizontal="center" vertical="center" wrapText="1"/>
    </xf>
    <xf numFmtId="166" fontId="34" fillId="0" borderId="25" xfId="2" applyNumberFormat="1" applyFont="1" applyFill="1" applyBorder="1" applyAlignment="1">
      <alignment horizontal="center" vertical="center" wrapText="1"/>
    </xf>
    <xf numFmtId="166" fontId="34" fillId="0" borderId="27" xfId="2" applyNumberFormat="1" applyFont="1" applyFill="1" applyBorder="1" applyAlignment="1">
      <alignment horizontal="center" vertical="center" wrapText="1"/>
    </xf>
    <xf numFmtId="166" fontId="34" fillId="0" borderId="24" xfId="3" applyNumberFormat="1" applyFont="1" applyFill="1" applyBorder="1" applyAlignment="1">
      <alignment horizontal="center" vertical="center" wrapText="1"/>
    </xf>
    <xf numFmtId="165" fontId="34" fillId="0" borderId="26" xfId="2" applyNumberFormat="1" applyFont="1" applyFill="1" applyBorder="1" applyAlignment="1">
      <alignment horizontal="center" vertical="center" wrapText="1"/>
    </xf>
    <xf numFmtId="9" fontId="34" fillId="0" borderId="26" xfId="2" applyNumberFormat="1" applyFont="1" applyFill="1" applyBorder="1" applyAlignment="1">
      <alignment horizontal="center" vertical="center" wrapText="1"/>
    </xf>
    <xf numFmtId="164" fontId="34" fillId="0" borderId="27" xfId="3" applyNumberFormat="1" applyFont="1" applyFill="1" applyBorder="1" applyAlignment="1">
      <alignment horizontal="center" vertical="center" wrapText="1"/>
    </xf>
    <xf numFmtId="9" fontId="34" fillId="0" borderId="14" xfId="2" applyFont="1" applyFill="1" applyBorder="1" applyAlignment="1">
      <alignment horizontal="center" vertical="center" wrapText="1"/>
    </xf>
    <xf numFmtId="164" fontId="34" fillId="0" borderId="14" xfId="3" applyNumberFormat="1" applyFont="1" applyFill="1" applyBorder="1" applyAlignment="1">
      <alignment horizontal="center" vertical="center" wrapText="1"/>
    </xf>
    <xf numFmtId="166" fontId="34" fillId="0" borderId="14" xfId="3" applyNumberFormat="1" applyFont="1" applyFill="1" applyBorder="1" applyAlignment="1">
      <alignment horizontal="center" vertical="center" wrapText="1"/>
    </xf>
    <xf numFmtId="0" fontId="36" fillId="0" borderId="14" xfId="3" applyFont="1" applyFill="1" applyBorder="1"/>
    <xf numFmtId="0" fontId="36" fillId="0" borderId="17" xfId="3" applyFont="1" applyFill="1" applyBorder="1"/>
    <xf numFmtId="164" fontId="33" fillId="0" borderId="0" xfId="3" applyNumberFormat="1" applyFont="1" applyFill="1"/>
    <xf numFmtId="166" fontId="37" fillId="0" borderId="25" xfId="3" applyNumberFormat="1" applyFont="1" applyFill="1" applyBorder="1" applyAlignment="1">
      <alignment horizontal="center" vertical="center" wrapText="1"/>
    </xf>
    <xf numFmtId="166" fontId="37" fillId="0" borderId="25" xfId="2" applyNumberFormat="1" applyFont="1" applyFill="1" applyBorder="1" applyAlignment="1">
      <alignment horizontal="center" vertical="center" wrapText="1"/>
    </xf>
    <xf numFmtId="166" fontId="37" fillId="0" borderId="27" xfId="2" applyNumberFormat="1" applyFont="1" applyFill="1" applyBorder="1" applyAlignment="1">
      <alignment horizontal="center" vertical="center" wrapText="1"/>
    </xf>
    <xf numFmtId="166" fontId="37" fillId="0" borderId="24" xfId="3" applyNumberFormat="1" applyFont="1" applyFill="1" applyBorder="1" applyAlignment="1">
      <alignment horizontal="center" vertical="center" wrapText="1"/>
    </xf>
    <xf numFmtId="165" fontId="37" fillId="0" borderId="26" xfId="2" applyNumberFormat="1" applyFont="1" applyFill="1" applyBorder="1" applyAlignment="1">
      <alignment horizontal="center" vertical="center" wrapText="1"/>
    </xf>
    <xf numFmtId="9" fontId="37" fillId="0" borderId="26" xfId="2" applyNumberFormat="1" applyFont="1" applyFill="1" applyBorder="1" applyAlignment="1">
      <alignment horizontal="center" vertical="center" wrapText="1"/>
    </xf>
    <xf numFmtId="0" fontId="39" fillId="0" borderId="0" xfId="3" applyFont="1" applyFill="1"/>
    <xf numFmtId="164" fontId="40" fillId="0" borderId="27" xfId="3" applyNumberFormat="1" applyFont="1" applyFill="1" applyBorder="1" applyAlignment="1">
      <alignment horizontal="center" vertical="center" wrapText="1"/>
    </xf>
    <xf numFmtId="0" fontId="41" fillId="0" borderId="14" xfId="3" applyFont="1" applyFill="1" applyBorder="1"/>
    <xf numFmtId="0" fontId="41" fillId="0" borderId="17" xfId="3" applyFont="1" applyFill="1" applyBorder="1"/>
    <xf numFmtId="164" fontId="26" fillId="0" borderId="17" xfId="3" applyNumberFormat="1" applyFont="1" applyFill="1" applyBorder="1" applyAlignment="1">
      <alignment horizontal="center" vertical="center" wrapText="1"/>
    </xf>
    <xf numFmtId="49" fontId="43" fillId="0" borderId="32" xfId="3" applyNumberFormat="1" applyFont="1" applyBorder="1" applyAlignment="1">
      <alignment horizontal="center" vertical="center"/>
    </xf>
    <xf numFmtId="49" fontId="43" fillId="0" borderId="0" xfId="3" applyNumberFormat="1" applyFont="1" applyBorder="1" applyAlignment="1">
      <alignment horizontal="center" vertical="center"/>
    </xf>
    <xf numFmtId="0" fontId="43" fillId="0" borderId="0" xfId="3" applyNumberFormat="1" applyFont="1" applyBorder="1" applyAlignment="1">
      <alignment horizontal="center" vertical="center"/>
    </xf>
    <xf numFmtId="0" fontId="43" fillId="0" borderId="0" xfId="3" applyNumberFormat="1" applyFont="1" applyFill="1" applyBorder="1" applyAlignment="1">
      <alignment horizontal="center" vertical="center"/>
    </xf>
    <xf numFmtId="49" fontId="43" fillId="0" borderId="0" xfId="3" applyNumberFormat="1" applyFont="1" applyFill="1" applyBorder="1" applyAlignment="1">
      <alignment horizontal="center" vertical="center"/>
    </xf>
    <xf numFmtId="0" fontId="44" fillId="0" borderId="0" xfId="3" applyNumberFormat="1" applyFont="1" applyBorder="1" applyAlignment="1">
      <alignment horizontal="center" vertical="center"/>
    </xf>
    <xf numFmtId="0" fontId="44" fillId="0" borderId="0" xfId="4" applyNumberFormat="1" applyFont="1" applyBorder="1" applyAlignment="1">
      <alignment horizontal="center" vertical="center"/>
    </xf>
    <xf numFmtId="9" fontId="14" fillId="0" borderId="25" xfId="2" applyFont="1" applyFill="1" applyBorder="1" applyAlignment="1">
      <alignment horizontal="center" vertical="center" wrapText="1"/>
    </xf>
    <xf numFmtId="0" fontId="44" fillId="0" borderId="30" xfId="3" applyNumberFormat="1" applyFont="1" applyBorder="1" applyAlignment="1">
      <alignment horizontal="center" vertical="center"/>
    </xf>
    <xf numFmtId="164" fontId="27" fillId="0" borderId="35" xfId="3" applyNumberFormat="1" applyFont="1" applyFill="1" applyBorder="1" applyAlignment="1">
      <alignment horizontal="center" vertical="center" wrapText="1"/>
    </xf>
    <xf numFmtId="164" fontId="26" fillId="0" borderId="25" xfId="3" applyNumberFormat="1" applyFont="1" applyFill="1" applyBorder="1" applyAlignment="1">
      <alignment horizontal="left" vertical="center" wrapText="1"/>
    </xf>
    <xf numFmtId="165" fontId="26" fillId="0" borderId="25" xfId="2" applyNumberFormat="1" applyFont="1" applyFill="1" applyBorder="1" applyAlignment="1">
      <alignment horizontal="center" vertical="center" wrapText="1"/>
    </xf>
    <xf numFmtId="9" fontId="26" fillId="0" borderId="25" xfId="2" applyNumberFormat="1" applyFont="1" applyFill="1" applyBorder="1" applyAlignment="1">
      <alignment horizontal="center" vertical="center" wrapText="1"/>
    </xf>
    <xf numFmtId="166" fontId="26" fillId="0" borderId="4" xfId="3" applyNumberFormat="1" applyFont="1" applyFill="1" applyBorder="1" applyAlignment="1">
      <alignment horizontal="center" vertical="center" wrapText="1"/>
    </xf>
    <xf numFmtId="166" fontId="14" fillId="0" borderId="14" xfId="2" applyNumberFormat="1" applyFont="1" applyFill="1" applyBorder="1" applyAlignment="1">
      <alignment horizontal="center" vertical="center" wrapText="1"/>
    </xf>
    <xf numFmtId="166" fontId="34" fillId="0" borderId="14" xfId="4" applyNumberFormat="1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166" fontId="15" fillId="0" borderId="14" xfId="2" applyNumberFormat="1" applyFont="1" applyFill="1" applyBorder="1" applyAlignment="1">
      <alignment horizontal="center" vertical="center" wrapText="1"/>
    </xf>
    <xf numFmtId="165" fontId="26" fillId="0" borderId="20" xfId="2" applyNumberFormat="1" applyFont="1" applyFill="1" applyBorder="1" applyAlignment="1">
      <alignment horizontal="center" vertical="center" wrapText="1"/>
    </xf>
    <xf numFmtId="9" fontId="34" fillId="0" borderId="14" xfId="2" applyNumberFormat="1" applyFont="1" applyFill="1" applyBorder="1" applyAlignment="1">
      <alignment horizontal="center" vertical="center" wrapText="1"/>
    </xf>
    <xf numFmtId="9" fontId="26" fillId="0" borderId="20" xfId="2" applyNumberFormat="1" applyFont="1" applyFill="1" applyBorder="1" applyAlignment="1">
      <alignment horizontal="center" vertical="center" wrapText="1"/>
    </xf>
    <xf numFmtId="166" fontId="34" fillId="0" borderId="13" xfId="3" applyNumberFormat="1" applyFont="1" applyFill="1" applyBorder="1" applyAlignment="1">
      <alignment horizontal="center" vertical="center" wrapText="1"/>
    </xf>
    <xf numFmtId="166" fontId="34" fillId="2" borderId="13" xfId="3" applyNumberFormat="1" applyFont="1" applyFill="1" applyBorder="1" applyAlignment="1">
      <alignment horizontal="center" vertical="center" wrapText="1"/>
    </xf>
    <xf numFmtId="166" fontId="34" fillId="3" borderId="13" xfId="3" applyNumberFormat="1" applyFont="1" applyFill="1" applyBorder="1" applyAlignment="1">
      <alignment horizontal="center" vertical="center" wrapText="1"/>
    </xf>
    <xf numFmtId="164" fontId="34" fillId="2" borderId="17" xfId="3" applyNumberFormat="1" applyFont="1" applyFill="1" applyBorder="1" applyAlignment="1">
      <alignment horizontal="center" vertical="center" wrapText="1"/>
    </xf>
    <xf numFmtId="164" fontId="34" fillId="0" borderId="13" xfId="3" applyNumberFormat="1" applyFont="1" applyFill="1" applyBorder="1" applyAlignment="1">
      <alignment horizontal="center" vertical="center" wrapText="1"/>
    </xf>
    <xf numFmtId="0" fontId="21" fillId="3" borderId="13" xfId="3" applyFont="1" applyFill="1" applyBorder="1"/>
    <xf numFmtId="0" fontId="21" fillId="3" borderId="16" xfId="3" applyFont="1" applyFill="1" applyBorder="1"/>
    <xf numFmtId="0" fontId="45" fillId="3" borderId="0" xfId="3" applyFont="1" applyFill="1"/>
    <xf numFmtId="164" fontId="14" fillId="0" borderId="13" xfId="3" applyNumberFormat="1" applyFont="1" applyFill="1" applyBorder="1" applyAlignment="1">
      <alignment horizontal="center" vertical="center" wrapText="1"/>
    </xf>
    <xf numFmtId="166" fontId="14" fillId="0" borderId="13" xfId="3" applyNumberFormat="1" applyFont="1" applyFill="1" applyBorder="1" applyAlignment="1">
      <alignment horizontal="center" vertical="center" wrapText="1"/>
    </xf>
    <xf numFmtId="166" fontId="14" fillId="0" borderId="13" xfId="4" applyNumberFormat="1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166" fontId="15" fillId="0" borderId="13" xfId="2" applyNumberFormat="1" applyFont="1" applyFill="1" applyBorder="1" applyAlignment="1">
      <alignment horizontal="center" vertical="center" wrapText="1"/>
    </xf>
    <xf numFmtId="9" fontId="34" fillId="0" borderId="13" xfId="2" applyNumberFormat="1" applyFont="1" applyFill="1" applyBorder="1" applyAlignment="1">
      <alignment horizontal="center" vertical="center" wrapText="1"/>
    </xf>
    <xf numFmtId="166" fontId="14" fillId="2" borderId="13" xfId="3" applyNumberFormat="1" applyFont="1" applyFill="1" applyBorder="1" applyAlignment="1">
      <alignment horizontal="center" vertical="center" wrapText="1"/>
    </xf>
    <xf numFmtId="166" fontId="14" fillId="3" borderId="13" xfId="3" applyNumberFormat="1" applyFont="1" applyFill="1" applyBorder="1" applyAlignment="1">
      <alignment horizontal="center" vertical="center" wrapText="1"/>
    </xf>
    <xf numFmtId="164" fontId="14" fillId="2" borderId="16" xfId="3" applyNumberFormat="1" applyFont="1" applyFill="1" applyBorder="1" applyAlignment="1">
      <alignment horizontal="center" vertical="center" wrapText="1"/>
    </xf>
    <xf numFmtId="0" fontId="46" fillId="3" borderId="13" xfId="3" applyFont="1" applyFill="1" applyBorder="1"/>
    <xf numFmtId="0" fontId="46" fillId="3" borderId="16" xfId="3" applyFont="1" applyFill="1" applyBorder="1"/>
    <xf numFmtId="0" fontId="47" fillId="3" borderId="0" xfId="3" applyFont="1" applyFill="1"/>
    <xf numFmtId="164" fontId="15" fillId="3" borderId="12" xfId="3" applyNumberFormat="1" applyFont="1" applyFill="1" applyBorder="1" applyAlignment="1">
      <alignment horizontal="center" vertical="center" wrapText="1"/>
    </xf>
    <xf numFmtId="164" fontId="37" fillId="2" borderId="13" xfId="3" applyNumberFormat="1" applyFont="1" applyFill="1" applyBorder="1" applyAlignment="1">
      <alignment horizontal="center" vertical="center" wrapText="1"/>
    </xf>
    <xf numFmtId="164" fontId="48" fillId="3" borderId="13" xfId="3" applyNumberFormat="1" applyFont="1" applyFill="1" applyBorder="1" applyAlignment="1">
      <alignment horizontal="center" vertical="center" wrapText="1"/>
    </xf>
    <xf numFmtId="164" fontId="17" fillId="0" borderId="13" xfId="3" applyNumberFormat="1" applyFont="1" applyFill="1" applyBorder="1" applyAlignment="1">
      <alignment horizontal="center" vertical="center" wrapText="1"/>
    </xf>
    <xf numFmtId="166" fontId="17" fillId="0" borderId="13" xfId="3" applyNumberFormat="1" applyFont="1" applyFill="1" applyBorder="1" applyAlignment="1">
      <alignment horizontal="center" vertical="center" wrapText="1"/>
    </xf>
    <xf numFmtId="166" fontId="15" fillId="4" borderId="13" xfId="4" applyNumberFormat="1" applyFont="1" applyFill="1" applyBorder="1" applyAlignment="1">
      <alignment horizontal="center" vertical="center" wrapText="1"/>
    </xf>
    <xf numFmtId="166" fontId="49" fillId="2" borderId="13" xfId="3" applyNumberFormat="1" applyFont="1" applyFill="1" applyBorder="1" applyAlignment="1">
      <alignment horizontal="center" vertical="center" wrapText="1"/>
    </xf>
    <xf numFmtId="166" fontId="37" fillId="3" borderId="13" xfId="3" applyNumberFormat="1" applyFont="1" applyFill="1" applyBorder="1" applyAlignment="1">
      <alignment horizontal="center" vertical="center" wrapText="1"/>
    </xf>
    <xf numFmtId="164" fontId="49" fillId="2" borderId="16" xfId="3" applyNumberFormat="1" applyFont="1" applyFill="1" applyBorder="1" applyAlignment="1">
      <alignment horizontal="center" vertical="center" wrapText="1"/>
    </xf>
    <xf numFmtId="166" fontId="50" fillId="0" borderId="13" xfId="3" applyNumberFormat="1" applyFont="1" applyFill="1" applyBorder="1" applyAlignment="1">
      <alignment horizontal="center" vertical="center" wrapText="1"/>
    </xf>
    <xf numFmtId="0" fontId="51" fillId="3" borderId="13" xfId="3" applyFont="1" applyFill="1" applyBorder="1"/>
    <xf numFmtId="0" fontId="52" fillId="3" borderId="13" xfId="3" applyFont="1" applyFill="1" applyBorder="1"/>
    <xf numFmtId="0" fontId="52" fillId="3" borderId="16" xfId="3" applyFont="1" applyFill="1" applyBorder="1"/>
    <xf numFmtId="0" fontId="1" fillId="3" borderId="0" xfId="3" applyFill="1"/>
    <xf numFmtId="164" fontId="37" fillId="3" borderId="13" xfId="3" applyNumberFormat="1" applyFont="1" applyFill="1" applyBorder="1" applyAlignment="1">
      <alignment horizontal="center" vertical="center" wrapText="1"/>
    </xf>
    <xf numFmtId="164" fontId="15" fillId="3" borderId="18" xfId="3" applyNumberFormat="1" applyFont="1" applyFill="1" applyBorder="1" applyAlignment="1">
      <alignment horizontal="center" vertical="center" wrapText="1"/>
    </xf>
    <xf numFmtId="164" fontId="37" fillId="3" borderId="19" xfId="3" applyNumberFormat="1" applyFont="1" applyFill="1" applyBorder="1" applyAlignment="1">
      <alignment horizontal="center" vertical="center" wrapText="1"/>
    </xf>
    <xf numFmtId="164" fontId="48" fillId="3" borderId="19" xfId="3" applyNumberFormat="1" applyFont="1" applyFill="1" applyBorder="1" applyAlignment="1">
      <alignment horizontal="center" vertical="center" wrapText="1"/>
    </xf>
    <xf numFmtId="164" fontId="14" fillId="0" borderId="19" xfId="3" applyNumberFormat="1" applyFont="1" applyFill="1" applyBorder="1" applyAlignment="1">
      <alignment horizontal="center" vertical="center" wrapText="1"/>
    </xf>
    <xf numFmtId="166" fontId="17" fillId="0" borderId="19" xfId="3" applyNumberFormat="1" applyFont="1" applyFill="1" applyBorder="1" applyAlignment="1">
      <alignment horizontal="center" vertical="center" wrapText="1"/>
    </xf>
    <xf numFmtId="166" fontId="14" fillId="0" borderId="19" xfId="3" applyNumberFormat="1" applyFont="1" applyFill="1" applyBorder="1" applyAlignment="1">
      <alignment horizontal="center" vertical="center" wrapText="1"/>
    </xf>
    <xf numFmtId="166" fontId="14" fillId="0" borderId="15" xfId="2" applyNumberFormat="1" applyFont="1" applyFill="1" applyBorder="1" applyAlignment="1">
      <alignment horizontal="center" vertical="center" wrapText="1"/>
    </xf>
    <xf numFmtId="166" fontId="14" fillId="0" borderId="15" xfId="3" applyNumberFormat="1" applyFont="1" applyFill="1" applyBorder="1" applyAlignment="1">
      <alignment horizontal="center" vertical="center" wrapText="1"/>
    </xf>
    <xf numFmtId="166" fontId="15" fillId="4" borderId="19" xfId="4" applyNumberFormat="1" applyFont="1" applyFill="1" applyBorder="1" applyAlignment="1">
      <alignment horizontal="center" vertical="center" wrapText="1"/>
    </xf>
    <xf numFmtId="165" fontId="15" fillId="0" borderId="19" xfId="2" applyNumberFormat="1" applyFont="1" applyFill="1" applyBorder="1" applyAlignment="1">
      <alignment horizontal="center" vertical="center" wrapText="1"/>
    </xf>
    <xf numFmtId="166" fontId="15" fillId="0" borderId="19" xfId="2" applyNumberFormat="1" applyFont="1" applyFill="1" applyBorder="1" applyAlignment="1">
      <alignment horizontal="center" vertical="center" wrapText="1"/>
    </xf>
    <xf numFmtId="165" fontId="26" fillId="0" borderId="5" xfId="2" applyNumberFormat="1" applyFont="1" applyFill="1" applyBorder="1" applyAlignment="1">
      <alignment horizontal="center" vertical="center" wrapText="1"/>
    </xf>
    <xf numFmtId="9" fontId="34" fillId="0" borderId="15" xfId="2" applyNumberFormat="1" applyFont="1" applyFill="1" applyBorder="1" applyAlignment="1">
      <alignment horizontal="center" vertical="center" wrapText="1"/>
    </xf>
    <xf numFmtId="9" fontId="26" fillId="0" borderId="5" xfId="2" applyNumberFormat="1" applyFont="1" applyFill="1" applyBorder="1" applyAlignment="1">
      <alignment horizontal="center" vertical="center" wrapText="1"/>
    </xf>
    <xf numFmtId="166" fontId="34" fillId="0" borderId="19" xfId="3" applyNumberFormat="1" applyFont="1" applyFill="1" applyBorder="1" applyAlignment="1">
      <alignment horizontal="center" vertical="center" wrapText="1"/>
    </xf>
    <xf numFmtId="9" fontId="34" fillId="0" borderId="19" xfId="2" applyNumberFormat="1" applyFont="1" applyFill="1" applyBorder="1" applyAlignment="1">
      <alignment horizontal="center" vertical="center" wrapText="1"/>
    </xf>
    <xf numFmtId="166" fontId="49" fillId="2" borderId="19" xfId="3" applyNumberFormat="1" applyFont="1" applyFill="1" applyBorder="1" applyAlignment="1">
      <alignment horizontal="center" vertical="center" wrapText="1"/>
    </xf>
    <xf numFmtId="166" fontId="37" fillId="3" borderId="19" xfId="3" applyNumberFormat="1" applyFont="1" applyFill="1" applyBorder="1" applyAlignment="1">
      <alignment horizontal="center" vertical="center" wrapText="1"/>
    </xf>
    <xf numFmtId="164" fontId="31" fillId="0" borderId="35" xfId="3" applyNumberFormat="1" applyFont="1" applyFill="1" applyBorder="1" applyAlignment="1">
      <alignment horizontal="center" vertical="center" wrapText="1"/>
    </xf>
    <xf numFmtId="164" fontId="30" fillId="0" borderId="25" xfId="3" applyNumberFormat="1" applyFont="1" applyFill="1" applyBorder="1" applyAlignment="1">
      <alignment horizontal="left" vertical="center" wrapText="1"/>
    </xf>
    <xf numFmtId="166" fontId="31" fillId="0" borderId="25" xfId="4" applyNumberFormat="1" applyFont="1" applyFill="1" applyBorder="1" applyAlignment="1">
      <alignment horizontal="center" vertical="center" wrapText="1"/>
    </xf>
    <xf numFmtId="165" fontId="31" fillId="0" borderId="25" xfId="2" applyNumberFormat="1" applyFont="1" applyFill="1" applyBorder="1" applyAlignment="1">
      <alignment horizontal="center" vertical="center" wrapText="1"/>
    </xf>
    <xf numFmtId="166" fontId="31" fillId="0" borderId="25" xfId="2" applyNumberFormat="1" applyFont="1" applyFill="1" applyBorder="1" applyAlignment="1">
      <alignment horizontal="center" vertical="center" wrapText="1"/>
    </xf>
    <xf numFmtId="165" fontId="30" fillId="0" borderId="25" xfId="2" applyNumberFormat="1" applyFont="1" applyFill="1" applyBorder="1" applyAlignment="1">
      <alignment horizontal="center" vertical="center" wrapText="1"/>
    </xf>
    <xf numFmtId="9" fontId="30" fillId="0" borderId="25" xfId="2" applyNumberFormat="1" applyFont="1" applyFill="1" applyBorder="1" applyAlignment="1">
      <alignment horizontal="center" vertical="center" wrapText="1"/>
    </xf>
    <xf numFmtId="164" fontId="40" fillId="0" borderId="21" xfId="3" applyNumberFormat="1" applyFont="1" applyFill="1" applyBorder="1" applyAlignment="1">
      <alignment horizontal="center" vertical="center" wrapText="1"/>
    </xf>
    <xf numFmtId="164" fontId="30" fillId="0" borderId="13" xfId="3" applyNumberFormat="1" applyFont="1" applyFill="1" applyBorder="1" applyAlignment="1">
      <alignment horizontal="center" vertical="center" wrapText="1"/>
    </xf>
    <xf numFmtId="166" fontId="30" fillId="0" borderId="13" xfId="3" applyNumberFormat="1" applyFont="1" applyFill="1" applyBorder="1" applyAlignment="1">
      <alignment horizontal="center" vertical="center" wrapText="1"/>
    </xf>
    <xf numFmtId="0" fontId="41" fillId="3" borderId="13" xfId="3" applyFont="1" applyFill="1" applyBorder="1"/>
    <xf numFmtId="0" fontId="41" fillId="3" borderId="16" xfId="3" applyFont="1" applyFill="1" applyBorder="1"/>
    <xf numFmtId="166" fontId="39" fillId="3" borderId="0" xfId="3" applyNumberFormat="1" applyFont="1" applyFill="1"/>
    <xf numFmtId="168" fontId="39" fillId="3" borderId="0" xfId="3" applyNumberFormat="1" applyFont="1" applyFill="1"/>
    <xf numFmtId="0" fontId="39" fillId="3" borderId="0" xfId="3" applyFont="1" applyFill="1"/>
    <xf numFmtId="164" fontId="15" fillId="3" borderId="36" xfId="3" applyNumberFormat="1" applyFont="1" applyFill="1" applyBorder="1" applyAlignment="1">
      <alignment horizontal="center" vertical="center" wrapText="1"/>
    </xf>
    <xf numFmtId="164" fontId="53" fillId="3" borderId="15" xfId="3" applyNumberFormat="1" applyFont="1" applyFill="1" applyBorder="1" applyAlignment="1">
      <alignment vertical="center" wrapText="1"/>
    </xf>
    <xf numFmtId="164" fontId="54" fillId="3" borderId="15" xfId="3" applyNumberFormat="1" applyFont="1" applyFill="1" applyBorder="1" applyAlignment="1">
      <alignment horizontal="center" vertical="center" wrapText="1"/>
    </xf>
    <xf numFmtId="164" fontId="55" fillId="2" borderId="15" xfId="3" applyNumberFormat="1" applyFont="1" applyFill="1" applyBorder="1" applyAlignment="1">
      <alignment horizontal="center" vertical="center" wrapText="1"/>
    </xf>
    <xf numFmtId="164" fontId="53" fillId="3" borderId="15" xfId="3" applyNumberFormat="1" applyFont="1" applyFill="1" applyBorder="1" applyAlignment="1">
      <alignment horizontal="center" vertical="center" wrapText="1"/>
    </xf>
    <xf numFmtId="166" fontId="55" fillId="2" borderId="15" xfId="3" applyNumberFormat="1" applyFont="1" applyFill="1" applyBorder="1" applyAlignment="1">
      <alignment horizontal="center" vertical="center" wrapText="1"/>
    </xf>
    <xf numFmtId="166" fontId="53" fillId="3" borderId="15" xfId="3" applyNumberFormat="1" applyFont="1" applyFill="1" applyBorder="1" applyAlignment="1">
      <alignment horizontal="center" vertical="center" wrapText="1"/>
    </xf>
    <xf numFmtId="166" fontId="53" fillId="0" borderId="15" xfId="2" applyNumberFormat="1" applyFont="1" applyFill="1" applyBorder="1" applyAlignment="1">
      <alignment horizontal="center" vertical="center" wrapText="1"/>
    </xf>
    <xf numFmtId="166" fontId="53" fillId="0" borderId="15" xfId="3" applyNumberFormat="1" applyFont="1" applyFill="1" applyBorder="1" applyAlignment="1">
      <alignment horizontal="center" vertical="center" wrapText="1"/>
    </xf>
    <xf numFmtId="166" fontId="56" fillId="0" borderId="15" xfId="4" applyNumberFormat="1" applyFont="1" applyFill="1" applyBorder="1" applyAlignment="1">
      <alignment horizontal="center" vertical="center" wrapText="1"/>
    </xf>
    <xf numFmtId="165" fontId="56" fillId="0" borderId="15" xfId="2" applyNumberFormat="1" applyFont="1" applyFill="1" applyBorder="1" applyAlignment="1">
      <alignment horizontal="center" vertical="center" wrapText="1"/>
    </xf>
    <xf numFmtId="166" fontId="56" fillId="0" borderId="15" xfId="2" applyNumberFormat="1" applyFont="1" applyFill="1" applyBorder="1" applyAlignment="1">
      <alignment horizontal="center" vertical="center" wrapText="1"/>
    </xf>
    <xf numFmtId="166" fontId="54" fillId="0" borderId="15" xfId="2" applyNumberFormat="1" applyFont="1" applyFill="1" applyBorder="1" applyAlignment="1">
      <alignment horizontal="center" vertical="center" wrapText="1"/>
    </xf>
    <xf numFmtId="165" fontId="56" fillId="3" borderId="15" xfId="2" applyNumberFormat="1" applyFont="1" applyFill="1" applyBorder="1" applyAlignment="1">
      <alignment horizontal="center" vertical="center" wrapText="1"/>
    </xf>
    <xf numFmtId="166" fontId="14" fillId="3" borderId="15" xfId="3" applyNumberFormat="1" applyFont="1" applyFill="1" applyBorder="1" applyAlignment="1">
      <alignment horizontal="center" vertical="center" wrapText="1"/>
    </xf>
    <xf numFmtId="9" fontId="15" fillId="0" borderId="15" xfId="2" applyNumberFormat="1" applyFont="1" applyFill="1" applyBorder="1" applyAlignment="1">
      <alignment horizontal="center" vertical="center" wrapText="1"/>
    </xf>
    <xf numFmtId="9" fontId="26" fillId="0" borderId="13" xfId="2" applyNumberFormat="1" applyFont="1" applyFill="1" applyBorder="1" applyAlignment="1">
      <alignment horizontal="center" vertical="center" wrapText="1"/>
    </xf>
    <xf numFmtId="166" fontId="17" fillId="2" borderId="15" xfId="3" applyNumberFormat="1" applyFont="1" applyFill="1" applyBorder="1" applyAlignment="1">
      <alignment horizontal="center" vertical="center" wrapText="1"/>
    </xf>
    <xf numFmtId="9" fontId="17" fillId="2" borderId="15" xfId="3" applyNumberFormat="1" applyFont="1" applyFill="1" applyBorder="1" applyAlignment="1">
      <alignment horizontal="center" vertical="center" wrapText="1"/>
    </xf>
    <xf numFmtId="9" fontId="14" fillId="3" borderId="15" xfId="3" applyNumberFormat="1" applyFont="1" applyFill="1" applyBorder="1" applyAlignment="1">
      <alignment horizontal="center" vertical="center" wrapText="1"/>
    </xf>
    <xf numFmtId="164" fontId="17" fillId="2" borderId="4" xfId="3" applyNumberFormat="1" applyFont="1" applyFill="1" applyBorder="1" applyAlignment="1">
      <alignment horizontal="center" vertical="center" wrapText="1"/>
    </xf>
    <xf numFmtId="9" fontId="14" fillId="0" borderId="37" xfId="2" applyFont="1" applyFill="1" applyBorder="1" applyAlignment="1">
      <alignment horizontal="center" vertical="center" wrapText="1"/>
    </xf>
    <xf numFmtId="166" fontId="17" fillId="2" borderId="19" xfId="3" applyNumberFormat="1" applyFont="1" applyFill="1" applyBorder="1" applyAlignment="1">
      <alignment horizontal="center" vertical="center" wrapText="1"/>
    </xf>
    <xf numFmtId="9" fontId="14" fillId="0" borderId="15" xfId="2" applyFont="1" applyFill="1" applyBorder="1" applyAlignment="1">
      <alignment horizontal="center" vertical="center" wrapText="1"/>
    </xf>
    <xf numFmtId="166" fontId="14" fillId="3" borderId="19" xfId="3" applyNumberFormat="1" applyFont="1" applyFill="1" applyBorder="1" applyAlignment="1">
      <alignment horizontal="center" vertical="center" wrapText="1"/>
    </xf>
    <xf numFmtId="0" fontId="52" fillId="3" borderId="19" xfId="3" applyFont="1" applyFill="1" applyBorder="1"/>
    <xf numFmtId="0" fontId="52" fillId="3" borderId="22" xfId="3" applyFont="1" applyFill="1" applyBorder="1"/>
    <xf numFmtId="164" fontId="17" fillId="0" borderId="12" xfId="3" applyNumberFormat="1" applyFont="1" applyFill="1" applyBorder="1" applyAlignment="1">
      <alignment horizontal="center" vertical="center" wrapText="1"/>
    </xf>
    <xf numFmtId="164" fontId="57" fillId="0" borderId="13" xfId="3" applyNumberFormat="1" applyFont="1" applyFill="1" applyBorder="1" applyAlignment="1">
      <alignment vertical="center" wrapText="1"/>
    </xf>
    <xf numFmtId="164" fontId="55" fillId="0" borderId="13" xfId="3" applyNumberFormat="1" applyFont="1" applyFill="1" applyBorder="1" applyAlignment="1">
      <alignment horizontal="center" vertical="center" wrapText="1"/>
    </xf>
    <xf numFmtId="164" fontId="55" fillId="0" borderId="13" xfId="3" quotePrefix="1" applyNumberFormat="1" applyFont="1" applyFill="1" applyBorder="1" applyAlignment="1">
      <alignment horizontal="center" vertical="center" wrapText="1"/>
    </xf>
    <xf numFmtId="166" fontId="55" fillId="0" borderId="13" xfId="3" applyNumberFormat="1" applyFont="1" applyFill="1" applyBorder="1" applyAlignment="1">
      <alignment horizontal="center" vertical="center" wrapText="1"/>
    </xf>
    <xf numFmtId="166" fontId="55" fillId="0" borderId="13" xfId="3" quotePrefix="1" applyNumberFormat="1" applyFont="1" applyFill="1" applyBorder="1" applyAlignment="1">
      <alignment horizontal="center" vertical="center" wrapText="1"/>
    </xf>
    <xf numFmtId="166" fontId="55" fillId="0" borderId="13" xfId="2" applyNumberFormat="1" applyFont="1" applyFill="1" applyBorder="1" applyAlignment="1">
      <alignment horizontal="center" vertical="center" wrapText="1"/>
    </xf>
    <xf numFmtId="166" fontId="53" fillId="0" borderId="13" xfId="2" applyNumberFormat="1" applyFont="1" applyFill="1" applyBorder="1" applyAlignment="1">
      <alignment horizontal="center" vertical="center" wrapText="1"/>
    </xf>
    <xf numFmtId="166" fontId="56" fillId="0" borderId="13" xfId="4" applyNumberFormat="1" applyFont="1" applyFill="1" applyBorder="1" applyAlignment="1">
      <alignment horizontal="center" vertical="center" wrapText="1"/>
    </xf>
    <xf numFmtId="165" fontId="56" fillId="0" borderId="13" xfId="2" applyNumberFormat="1" applyFont="1" applyFill="1" applyBorder="1" applyAlignment="1">
      <alignment horizontal="center" vertical="center" wrapText="1"/>
    </xf>
    <xf numFmtId="166" fontId="56" fillId="0" borderId="13" xfId="2" applyNumberFormat="1" applyFont="1" applyFill="1" applyBorder="1" applyAlignment="1">
      <alignment horizontal="center" vertical="center" wrapText="1"/>
    </xf>
    <xf numFmtId="166" fontId="54" fillId="0" borderId="13" xfId="2" applyNumberFormat="1" applyFont="1" applyFill="1" applyBorder="1" applyAlignment="1">
      <alignment horizontal="center" vertical="center" wrapText="1"/>
    </xf>
    <xf numFmtId="165" fontId="55" fillId="0" borderId="13" xfId="2" applyNumberFormat="1" applyFont="1" applyFill="1" applyBorder="1" applyAlignment="1">
      <alignment horizontal="center" vertical="center" wrapText="1"/>
    </xf>
    <xf numFmtId="166" fontId="17" fillId="0" borderId="13" xfId="3" quotePrefix="1" applyNumberFormat="1" applyFont="1" applyFill="1" applyBorder="1" applyAlignment="1">
      <alignment horizontal="center" vertical="center" wrapText="1"/>
    </xf>
    <xf numFmtId="9" fontId="58" fillId="0" borderId="13" xfId="2" applyNumberFormat="1" applyFont="1" applyFill="1" applyBorder="1" applyAlignment="1">
      <alignment horizontal="center" vertical="center" wrapText="1"/>
    </xf>
    <xf numFmtId="9" fontId="17" fillId="0" borderId="13" xfId="2" applyNumberFormat="1" applyFont="1" applyFill="1" applyBorder="1" applyAlignment="1">
      <alignment horizontal="center" vertical="center" wrapText="1"/>
    </xf>
    <xf numFmtId="165" fontId="17" fillId="0" borderId="13" xfId="2" applyNumberFormat="1" applyFont="1" applyFill="1" applyBorder="1" applyAlignment="1">
      <alignment horizontal="center" vertical="center" wrapText="1"/>
    </xf>
    <xf numFmtId="164" fontId="17" fillId="0" borderId="19" xfId="3" applyNumberFormat="1" applyFont="1" applyFill="1" applyBorder="1" applyAlignment="1">
      <alignment horizontal="center" vertical="center" wrapText="1"/>
    </xf>
    <xf numFmtId="9" fontId="14" fillId="0" borderId="13" xfId="2" applyFont="1" applyFill="1" applyBorder="1" applyAlignment="1">
      <alignment horizontal="center" vertical="center" wrapText="1"/>
    </xf>
    <xf numFmtId="167" fontId="17" fillId="0" borderId="13" xfId="3" applyNumberFormat="1" applyFont="1" applyFill="1" applyBorder="1" applyAlignment="1">
      <alignment horizontal="center" vertical="center" wrapText="1"/>
    </xf>
    <xf numFmtId="0" fontId="52" fillId="0" borderId="13" xfId="3" applyFont="1" applyFill="1" applyBorder="1"/>
    <xf numFmtId="0" fontId="52" fillId="0" borderId="16" xfId="3" applyFont="1" applyFill="1" applyBorder="1"/>
    <xf numFmtId="0" fontId="1" fillId="0" borderId="0" xfId="3" applyFill="1"/>
    <xf numFmtId="164" fontId="59" fillId="0" borderId="13" xfId="3" applyNumberFormat="1" applyFont="1" applyFill="1" applyBorder="1" applyAlignment="1">
      <alignment horizontal="center" vertical="center" wrapText="1"/>
    </xf>
    <xf numFmtId="9" fontId="17" fillId="0" borderId="13" xfId="2" applyFont="1" applyFill="1" applyBorder="1" applyAlignment="1">
      <alignment horizontal="center" vertical="center" wrapText="1"/>
    </xf>
    <xf numFmtId="0" fontId="18" fillId="0" borderId="13" xfId="3" applyFont="1" applyFill="1" applyBorder="1"/>
    <xf numFmtId="0" fontId="18" fillId="0" borderId="16" xfId="3" applyFont="1" applyFill="1" applyBorder="1"/>
    <xf numFmtId="164" fontId="56" fillId="0" borderId="13" xfId="3" applyNumberFormat="1" applyFont="1" applyFill="1" applyBorder="1" applyAlignment="1">
      <alignment horizontal="center" vertical="center" wrapText="1"/>
    </xf>
    <xf numFmtId="49" fontId="17" fillId="0" borderId="12" xfId="3" applyNumberFormat="1" applyFont="1" applyFill="1" applyBorder="1" applyAlignment="1">
      <alignment horizontal="center" vertical="center" wrapText="1"/>
    </xf>
    <xf numFmtId="167" fontId="60" fillId="0" borderId="13" xfId="3" applyNumberFormat="1" applyFont="1" applyFill="1" applyBorder="1" applyAlignment="1">
      <alignment horizontal="left" vertical="center" wrapText="1"/>
    </xf>
    <xf numFmtId="166" fontId="49" fillId="0" borderId="13" xfId="3" applyNumberFormat="1" applyFont="1" applyFill="1" applyBorder="1" applyAlignment="1">
      <alignment horizontal="center" vertical="center" wrapText="1"/>
    </xf>
    <xf numFmtId="164" fontId="34" fillId="0" borderId="12" xfId="3" applyNumberFormat="1" applyFont="1" applyFill="1" applyBorder="1" applyAlignment="1">
      <alignment horizontal="center" vertical="center" wrapText="1"/>
    </xf>
    <xf numFmtId="164" fontId="61" fillId="0" borderId="13" xfId="3" applyNumberFormat="1" applyFont="1" applyFill="1" applyBorder="1" applyAlignment="1">
      <alignment vertical="center" wrapText="1"/>
    </xf>
    <xf numFmtId="164" fontId="62" fillId="0" borderId="13" xfId="3" applyNumberFormat="1" applyFont="1" applyFill="1" applyBorder="1" applyAlignment="1">
      <alignment horizontal="center" vertical="center" wrapText="1"/>
    </xf>
    <xf numFmtId="164" fontId="62" fillId="0" borderId="13" xfId="3" quotePrefix="1" applyNumberFormat="1" applyFont="1" applyFill="1" applyBorder="1" applyAlignment="1">
      <alignment horizontal="center" vertical="center" wrapText="1"/>
    </xf>
    <xf numFmtId="166" fontId="62" fillId="0" borderId="13" xfId="3" applyNumberFormat="1" applyFont="1" applyFill="1" applyBorder="1" applyAlignment="1">
      <alignment horizontal="center" vertical="center" wrapText="1"/>
    </xf>
    <xf numFmtId="166" fontId="62" fillId="0" borderId="13" xfId="3" quotePrefix="1" applyNumberFormat="1" applyFont="1" applyFill="1" applyBorder="1" applyAlignment="1">
      <alignment horizontal="center" vertical="center" wrapText="1"/>
    </xf>
    <xf numFmtId="166" fontId="62" fillId="0" borderId="13" xfId="2" applyNumberFormat="1" applyFont="1" applyFill="1" applyBorder="1" applyAlignment="1">
      <alignment horizontal="center" vertical="center" wrapText="1"/>
    </xf>
    <xf numFmtId="166" fontId="62" fillId="0" borderId="13" xfId="4" applyNumberFormat="1" applyFont="1" applyFill="1" applyBorder="1" applyAlignment="1">
      <alignment horizontal="center" vertical="center" wrapText="1"/>
    </xf>
    <xf numFmtId="165" fontId="63" fillId="0" borderId="13" xfId="2" applyNumberFormat="1" applyFont="1" applyFill="1" applyBorder="1" applyAlignment="1">
      <alignment horizontal="center" vertical="center" wrapText="1"/>
    </xf>
    <xf numFmtId="166" fontId="63" fillId="0" borderId="13" xfId="2" applyNumberFormat="1" applyFont="1" applyFill="1" applyBorder="1" applyAlignment="1">
      <alignment horizontal="center" vertical="center" wrapText="1"/>
    </xf>
    <xf numFmtId="166" fontId="34" fillId="0" borderId="13" xfId="3" quotePrefix="1" applyNumberFormat="1" applyFont="1" applyFill="1" applyBorder="1" applyAlignment="1">
      <alignment horizontal="center" vertical="center" wrapText="1"/>
    </xf>
    <xf numFmtId="9" fontId="35" fillId="0" borderId="13" xfId="2" applyNumberFormat="1" applyFont="1" applyFill="1" applyBorder="1" applyAlignment="1">
      <alignment horizontal="center" vertical="center" wrapText="1"/>
    </xf>
    <xf numFmtId="9" fontId="34" fillId="0" borderId="13" xfId="2" applyFont="1" applyFill="1" applyBorder="1" applyAlignment="1">
      <alignment horizontal="center" vertical="center" wrapText="1"/>
    </xf>
    <xf numFmtId="167" fontId="34" fillId="0" borderId="13" xfId="3" applyNumberFormat="1" applyFont="1" applyFill="1" applyBorder="1" applyAlignment="1">
      <alignment horizontal="center" vertical="center" wrapText="1"/>
    </xf>
    <xf numFmtId="0" fontId="21" fillId="0" borderId="13" xfId="3" applyFont="1" applyFill="1" applyBorder="1"/>
    <xf numFmtId="0" fontId="21" fillId="0" borderId="16" xfId="3" applyFont="1" applyFill="1" applyBorder="1"/>
    <xf numFmtId="0" fontId="45" fillId="0" borderId="0" xfId="3" applyFont="1" applyFill="1"/>
    <xf numFmtId="164" fontId="59" fillId="0" borderId="13" xfId="3" applyNumberFormat="1" applyFont="1" applyFill="1" applyBorder="1" applyAlignment="1">
      <alignment vertical="center" wrapText="1"/>
    </xf>
    <xf numFmtId="164" fontId="61" fillId="0" borderId="13" xfId="3" applyNumberFormat="1" applyFont="1" applyFill="1" applyBorder="1" applyAlignment="1">
      <alignment horizontal="center" vertical="center" wrapText="1"/>
    </xf>
    <xf numFmtId="164" fontId="63" fillId="0" borderId="13" xfId="3" applyNumberFormat="1" applyFont="1" applyFill="1" applyBorder="1" applyAlignment="1">
      <alignment horizontal="center" vertical="center" wrapText="1"/>
    </xf>
    <xf numFmtId="166" fontId="63" fillId="0" borderId="13" xfId="4" applyNumberFormat="1" applyFont="1" applyFill="1" applyBorder="1" applyAlignment="1">
      <alignment horizontal="center" vertical="center" wrapText="1"/>
    </xf>
    <xf numFmtId="166" fontId="53" fillId="0" borderId="13" xfId="3" quotePrefix="1" applyNumberFormat="1" applyFont="1" applyFill="1" applyBorder="1" applyAlignment="1">
      <alignment horizontal="center" vertical="center" wrapText="1"/>
    </xf>
    <xf numFmtId="0" fontId="36" fillId="0" borderId="13" xfId="3" applyFont="1" applyFill="1" applyBorder="1"/>
    <xf numFmtId="0" fontId="36" fillId="0" borderId="16" xfId="3" applyFont="1" applyFill="1" applyBorder="1"/>
    <xf numFmtId="164" fontId="60" fillId="0" borderId="13" xfId="3" applyNumberFormat="1" applyFont="1" applyFill="1" applyBorder="1" applyAlignment="1">
      <alignment horizontal="left" vertical="center" wrapText="1"/>
    </xf>
    <xf numFmtId="164" fontId="17" fillId="0" borderId="13" xfId="3" applyNumberFormat="1" applyFont="1" applyFill="1" applyBorder="1" applyAlignment="1">
      <alignment horizontal="left" vertical="center" wrapText="1"/>
    </xf>
    <xf numFmtId="164" fontId="58" fillId="0" borderId="12" xfId="3" applyNumberFormat="1" applyFont="1" applyFill="1" applyBorder="1" applyAlignment="1">
      <alignment horizontal="center" vertical="center" wrapText="1"/>
    </xf>
    <xf numFmtId="164" fontId="64" fillId="0" borderId="13" xfId="3" applyNumberFormat="1" applyFont="1" applyFill="1" applyBorder="1" applyAlignment="1">
      <alignment horizontal="center" vertical="center" wrapText="1"/>
    </xf>
    <xf numFmtId="164" fontId="65" fillId="0" borderId="13" xfId="3" applyNumberFormat="1" applyFont="1" applyFill="1" applyBorder="1" applyAlignment="1">
      <alignment horizontal="center" vertical="center" wrapText="1"/>
    </xf>
    <xf numFmtId="166" fontId="55" fillId="0" borderId="13" xfId="4" applyNumberFormat="1" applyFont="1" applyFill="1" applyBorder="1" applyAlignment="1">
      <alignment horizontal="center" vertical="center" wrapText="1"/>
    </xf>
    <xf numFmtId="164" fontId="49" fillId="0" borderId="13" xfId="3" applyNumberFormat="1" applyFont="1" applyFill="1" applyBorder="1" applyAlignment="1">
      <alignment horizontal="center" vertical="center" wrapText="1"/>
    </xf>
    <xf numFmtId="0" fontId="66" fillId="0" borderId="13" xfId="3" applyFont="1" applyFill="1" applyBorder="1"/>
    <xf numFmtId="0" fontId="66" fillId="0" borderId="16" xfId="3" applyFont="1" applyFill="1" applyBorder="1"/>
    <xf numFmtId="0" fontId="67" fillId="0" borderId="0" xfId="3" applyFont="1" applyFill="1"/>
    <xf numFmtId="164" fontId="68" fillId="0" borderId="13" xfId="3" applyNumberFormat="1" applyFont="1" applyFill="1" applyBorder="1" applyAlignment="1">
      <alignment horizontal="center" vertical="center" wrapText="1"/>
    </xf>
    <xf numFmtId="164" fontId="69" fillId="0" borderId="13" xfId="3" applyNumberFormat="1" applyFont="1" applyFill="1" applyBorder="1" applyAlignment="1">
      <alignment horizontal="center" vertical="center" wrapText="1"/>
    </xf>
    <xf numFmtId="164" fontId="69" fillId="0" borderId="13" xfId="3" quotePrefix="1" applyNumberFormat="1" applyFont="1" applyFill="1" applyBorder="1" applyAlignment="1">
      <alignment horizontal="center" vertical="center" wrapText="1"/>
    </xf>
    <xf numFmtId="49" fontId="58" fillId="0" borderId="12" xfId="3" applyNumberFormat="1" applyFont="1" applyFill="1" applyBorder="1" applyAlignment="1">
      <alignment horizontal="center" vertical="center" wrapText="1"/>
    </xf>
    <xf numFmtId="49" fontId="17" fillId="0" borderId="18" xfId="3" applyNumberFormat="1" applyFont="1" applyFill="1" applyBorder="1" applyAlignment="1">
      <alignment horizontal="center" vertical="center" wrapText="1"/>
    </xf>
    <xf numFmtId="164" fontId="54" fillId="0" borderId="19" xfId="3" applyNumberFormat="1" applyFont="1" applyFill="1" applyBorder="1" applyAlignment="1">
      <alignment horizontal="center" vertical="center" wrapText="1"/>
    </xf>
    <xf numFmtId="164" fontId="53" fillId="0" borderId="19" xfId="3" applyNumberFormat="1" applyFont="1" applyFill="1" applyBorder="1" applyAlignment="1">
      <alignment horizontal="center" vertical="center" wrapText="1"/>
    </xf>
    <xf numFmtId="166" fontId="55" fillId="0" borderId="19" xfId="3" applyNumberFormat="1" applyFont="1" applyFill="1" applyBorder="1" applyAlignment="1">
      <alignment horizontal="center" vertical="center" wrapText="1"/>
    </xf>
    <xf numFmtId="164" fontId="55" fillId="0" borderId="19" xfId="3" applyNumberFormat="1" applyFont="1" applyFill="1" applyBorder="1" applyAlignment="1">
      <alignment horizontal="center" vertical="center" wrapText="1"/>
    </xf>
    <xf numFmtId="164" fontId="55" fillId="0" borderId="19" xfId="3" quotePrefix="1" applyNumberFormat="1" applyFont="1" applyFill="1" applyBorder="1" applyAlignment="1">
      <alignment horizontal="center" vertical="center" wrapText="1"/>
    </xf>
    <xf numFmtId="166" fontId="55" fillId="0" borderId="19" xfId="3" quotePrefix="1" applyNumberFormat="1" applyFont="1" applyFill="1" applyBorder="1" applyAlignment="1">
      <alignment horizontal="center" vertical="center" wrapText="1"/>
    </xf>
    <xf numFmtId="166" fontId="55" fillId="0" borderId="19" xfId="2" applyNumberFormat="1" applyFont="1" applyFill="1" applyBorder="1" applyAlignment="1">
      <alignment horizontal="center" vertical="center" wrapText="1"/>
    </xf>
    <xf numFmtId="166" fontId="70" fillId="0" borderId="19" xfId="3" applyNumberFormat="1" applyFont="1" applyFill="1" applyBorder="1" applyAlignment="1">
      <alignment horizontal="center" vertical="center" wrapText="1"/>
    </xf>
    <xf numFmtId="166" fontId="56" fillId="0" borderId="19" xfId="4" applyNumberFormat="1" applyFont="1" applyFill="1" applyBorder="1" applyAlignment="1">
      <alignment horizontal="center" vertical="center" wrapText="1"/>
    </xf>
    <xf numFmtId="166" fontId="56" fillId="0" borderId="19" xfId="2" applyNumberFormat="1" applyFont="1" applyFill="1" applyBorder="1" applyAlignment="1">
      <alignment horizontal="center" vertical="center" wrapText="1"/>
    </xf>
    <xf numFmtId="165" fontId="55" fillId="0" borderId="38" xfId="2" applyNumberFormat="1" applyFont="1" applyFill="1" applyBorder="1" applyAlignment="1">
      <alignment horizontal="center" vertical="center" wrapText="1"/>
    </xf>
    <xf numFmtId="166" fontId="17" fillId="0" borderId="38" xfId="3" applyNumberFormat="1" applyFont="1" applyFill="1" applyBorder="1" applyAlignment="1">
      <alignment horizontal="center" vertical="center" wrapText="1"/>
    </xf>
    <xf numFmtId="9" fontId="58" fillId="0" borderId="38" xfId="2" applyNumberFormat="1" applyFont="1" applyFill="1" applyBorder="1" applyAlignment="1">
      <alignment horizontal="center" vertical="center" wrapText="1"/>
    </xf>
    <xf numFmtId="9" fontId="17" fillId="0" borderId="38" xfId="2" applyNumberFormat="1" applyFont="1" applyFill="1" applyBorder="1" applyAlignment="1">
      <alignment horizontal="center" vertical="center" wrapText="1"/>
    </xf>
    <xf numFmtId="9" fontId="17" fillId="0" borderId="19" xfId="2" applyNumberFormat="1" applyFont="1" applyFill="1" applyBorder="1" applyAlignment="1">
      <alignment horizontal="center" vertical="center" wrapText="1"/>
    </xf>
    <xf numFmtId="164" fontId="60" fillId="0" borderId="38" xfId="3" applyNumberFormat="1" applyFont="1" applyFill="1" applyBorder="1" applyAlignment="1">
      <alignment horizontal="left" vertical="center" wrapText="1"/>
    </xf>
    <xf numFmtId="166" fontId="37" fillId="0" borderId="13" xfId="3" applyNumberFormat="1" applyFont="1" applyFill="1" applyBorder="1" applyAlignment="1">
      <alignment horizontal="center" vertical="center" wrapText="1"/>
    </xf>
    <xf numFmtId="0" fontId="71" fillId="0" borderId="13" xfId="3" applyFont="1" applyFill="1" applyBorder="1"/>
    <xf numFmtId="0" fontId="71" fillId="0" borderId="16" xfId="3" applyFont="1" applyFill="1" applyBorder="1"/>
    <xf numFmtId="0" fontId="72" fillId="0" borderId="0" xfId="3" applyFont="1" applyFill="1"/>
    <xf numFmtId="164" fontId="73" fillId="0" borderId="35" xfId="3" applyNumberFormat="1" applyFont="1" applyFill="1" applyBorder="1" applyAlignment="1">
      <alignment horizontal="center" vertical="center" wrapText="1"/>
    </xf>
    <xf numFmtId="164" fontId="74" fillId="0" borderId="25" xfId="3" applyNumberFormat="1" applyFont="1" applyFill="1" applyBorder="1" applyAlignment="1">
      <alignment horizontal="left" vertical="center" wrapText="1"/>
    </xf>
    <xf numFmtId="164" fontId="74" fillId="0" borderId="25" xfId="3" applyNumberFormat="1" applyFont="1" applyFill="1" applyBorder="1" applyAlignment="1">
      <alignment horizontal="center" vertical="center" wrapText="1"/>
    </xf>
    <xf numFmtId="164" fontId="74" fillId="0" borderId="25" xfId="3" quotePrefix="1" applyNumberFormat="1" applyFont="1" applyFill="1" applyBorder="1" applyAlignment="1">
      <alignment horizontal="center" vertical="center" wrapText="1"/>
    </xf>
    <xf numFmtId="166" fontId="73" fillId="0" borderId="25" xfId="3" applyNumberFormat="1" applyFont="1" applyFill="1" applyBorder="1" applyAlignment="1">
      <alignment horizontal="center" vertical="center" wrapText="1"/>
    </xf>
    <xf numFmtId="164" fontId="73" fillId="0" borderId="25" xfId="3" applyNumberFormat="1" applyFont="1" applyFill="1" applyBorder="1" applyAlignment="1">
      <alignment horizontal="center" vertical="center" wrapText="1"/>
    </xf>
    <xf numFmtId="166" fontId="73" fillId="0" borderId="25" xfId="2" applyNumberFormat="1" applyFont="1" applyFill="1" applyBorder="1" applyAlignment="1">
      <alignment horizontal="center" vertical="center" wrapText="1"/>
    </xf>
    <xf numFmtId="166" fontId="73" fillId="2" borderId="25" xfId="3" applyNumberFormat="1" applyFont="1" applyFill="1" applyBorder="1" applyAlignment="1">
      <alignment horizontal="center" vertical="center" wrapText="1"/>
    </xf>
    <xf numFmtId="165" fontId="73" fillId="0" borderId="25" xfId="2" applyNumberFormat="1" applyFont="1" applyFill="1" applyBorder="1" applyAlignment="1">
      <alignment horizontal="center" vertical="center" wrapText="1"/>
    </xf>
    <xf numFmtId="165" fontId="74" fillId="0" borderId="20" xfId="2" applyNumberFormat="1" applyFont="1" applyFill="1" applyBorder="1" applyAlignment="1">
      <alignment horizontal="center" vertical="center" wrapText="1"/>
    </xf>
    <xf numFmtId="166" fontId="73" fillId="0" borderId="20" xfId="3" applyNumberFormat="1" applyFont="1" applyFill="1" applyBorder="1" applyAlignment="1">
      <alignment horizontal="center" vertical="center" wrapText="1"/>
    </xf>
    <xf numFmtId="9" fontId="73" fillId="0" borderId="20" xfId="2" applyNumberFormat="1" applyFont="1" applyFill="1" applyBorder="1" applyAlignment="1">
      <alignment horizontal="center" vertical="center" wrapText="1"/>
    </xf>
    <xf numFmtId="9" fontId="73" fillId="0" borderId="25" xfId="2" applyNumberFormat="1" applyFont="1" applyFill="1" applyBorder="1" applyAlignment="1">
      <alignment horizontal="center" vertical="center" wrapText="1"/>
    </xf>
    <xf numFmtId="166" fontId="73" fillId="0" borderId="24" xfId="3" applyNumberFormat="1" applyFont="1" applyFill="1" applyBorder="1" applyAlignment="1">
      <alignment horizontal="center" vertical="center" wrapText="1"/>
    </xf>
    <xf numFmtId="9" fontId="73" fillId="0" borderId="24" xfId="2" applyNumberFormat="1" applyFont="1" applyFill="1" applyBorder="1" applyAlignment="1">
      <alignment horizontal="center" vertical="center" wrapText="1"/>
    </xf>
    <xf numFmtId="165" fontId="73" fillId="0" borderId="24" xfId="2" applyNumberFormat="1" applyFont="1" applyFill="1" applyBorder="1" applyAlignment="1">
      <alignment horizontal="center" vertical="center" wrapText="1"/>
    </xf>
    <xf numFmtId="9" fontId="73" fillId="0" borderId="13" xfId="2" applyFont="1" applyFill="1" applyBorder="1" applyAlignment="1">
      <alignment horizontal="center" vertical="center" wrapText="1"/>
    </xf>
    <xf numFmtId="166" fontId="73" fillId="0" borderId="13" xfId="3" applyNumberFormat="1" applyFont="1" applyFill="1" applyBorder="1" applyAlignment="1">
      <alignment horizontal="center" vertical="center" wrapText="1"/>
    </xf>
    <xf numFmtId="166" fontId="73" fillId="2" borderId="13" xfId="3" applyNumberFormat="1" applyFont="1" applyFill="1" applyBorder="1" applyAlignment="1">
      <alignment horizontal="center" vertical="center" wrapText="1"/>
    </xf>
    <xf numFmtId="0" fontId="75" fillId="3" borderId="13" xfId="3" applyFont="1" applyFill="1" applyBorder="1"/>
    <xf numFmtId="0" fontId="75" fillId="3" borderId="16" xfId="3" applyFont="1" applyFill="1" applyBorder="1"/>
    <xf numFmtId="0" fontId="76" fillId="3" borderId="0" xfId="3" applyFont="1" applyFill="1"/>
    <xf numFmtId="49" fontId="15" fillId="3" borderId="28" xfId="3" applyNumberFormat="1" applyFont="1" applyFill="1" applyBorder="1" applyAlignment="1">
      <alignment horizontal="center" vertical="center" wrapText="1"/>
    </xf>
    <xf numFmtId="164" fontId="53" fillId="0" borderId="13" xfId="3" applyNumberFormat="1" applyFont="1" applyFill="1" applyBorder="1" applyAlignment="1">
      <alignment vertical="center" wrapText="1"/>
    </xf>
    <xf numFmtId="164" fontId="54" fillId="3" borderId="14" xfId="3" applyNumberFormat="1" applyFont="1" applyFill="1" applyBorder="1" applyAlignment="1">
      <alignment horizontal="center" vertical="center" wrapText="1"/>
    </xf>
    <xf numFmtId="164" fontId="55" fillId="2" borderId="14" xfId="3" applyNumberFormat="1" applyFont="1" applyFill="1" applyBorder="1" applyAlignment="1">
      <alignment horizontal="center" vertical="center" wrapText="1"/>
    </xf>
    <xf numFmtId="164" fontId="53" fillId="3" borderId="14" xfId="3" applyNumberFormat="1" applyFont="1" applyFill="1" applyBorder="1" applyAlignment="1">
      <alignment horizontal="center" vertical="center" wrapText="1"/>
    </xf>
    <xf numFmtId="166" fontId="55" fillId="2" borderId="14" xfId="3" applyNumberFormat="1" applyFont="1" applyFill="1" applyBorder="1" applyAlignment="1">
      <alignment horizontal="center" vertical="center" wrapText="1"/>
    </xf>
    <xf numFmtId="166" fontId="53" fillId="3" borderId="14" xfId="3" applyNumberFormat="1" applyFont="1" applyFill="1" applyBorder="1" applyAlignment="1">
      <alignment horizontal="center" vertical="center" wrapText="1"/>
    </xf>
    <xf numFmtId="166" fontId="53" fillId="0" borderId="14" xfId="2" applyNumberFormat="1" applyFont="1" applyFill="1" applyBorder="1" applyAlignment="1">
      <alignment horizontal="center" vertical="center" wrapText="1"/>
    </xf>
    <xf numFmtId="166" fontId="56" fillId="0" borderId="14" xfId="4" applyNumberFormat="1" applyFont="1" applyFill="1" applyBorder="1" applyAlignment="1">
      <alignment horizontal="center" vertical="center" wrapText="1"/>
    </xf>
    <xf numFmtId="165" fontId="56" fillId="0" borderId="14" xfId="2" applyNumberFormat="1" applyFont="1" applyFill="1" applyBorder="1" applyAlignment="1">
      <alignment horizontal="center" vertical="center" wrapText="1"/>
    </xf>
    <xf numFmtId="166" fontId="56" fillId="0" borderId="14" xfId="2" applyNumberFormat="1" applyFont="1" applyFill="1" applyBorder="1" applyAlignment="1">
      <alignment horizontal="center" vertical="center" wrapText="1"/>
    </xf>
    <xf numFmtId="166" fontId="54" fillId="0" borderId="14" xfId="2" applyNumberFormat="1" applyFont="1" applyFill="1" applyBorder="1" applyAlignment="1">
      <alignment horizontal="center" vertical="center" wrapText="1"/>
    </xf>
    <xf numFmtId="165" fontId="55" fillId="0" borderId="14" xfId="2" applyNumberFormat="1" applyFont="1" applyFill="1" applyBorder="1" applyAlignment="1">
      <alignment horizontal="center" vertical="center" wrapText="1"/>
    </xf>
    <xf numFmtId="166" fontId="14" fillId="3" borderId="14" xfId="3" applyNumberFormat="1" applyFont="1" applyFill="1" applyBorder="1" applyAlignment="1">
      <alignment horizontal="center" vertical="center" wrapText="1"/>
    </xf>
    <xf numFmtId="9" fontId="58" fillId="0" borderId="14" xfId="2" applyNumberFormat="1" applyFont="1" applyFill="1" applyBorder="1" applyAlignment="1">
      <alignment horizontal="center" vertical="center" wrapText="1"/>
    </xf>
    <xf numFmtId="9" fontId="15" fillId="0" borderId="14" xfId="2" applyNumberFormat="1" applyFont="1" applyFill="1" applyBorder="1" applyAlignment="1">
      <alignment horizontal="center" vertical="center" wrapText="1"/>
    </xf>
    <xf numFmtId="9" fontId="17" fillId="0" borderId="14" xfId="2" applyNumberFormat="1" applyFont="1" applyFill="1" applyBorder="1" applyAlignment="1">
      <alignment horizontal="center" vertical="center" wrapText="1"/>
    </xf>
    <xf numFmtId="166" fontId="17" fillId="3" borderId="14" xfId="3" applyNumberFormat="1" applyFont="1" applyFill="1" applyBorder="1" applyAlignment="1">
      <alignment horizontal="center" vertical="center" wrapText="1"/>
    </xf>
    <xf numFmtId="9" fontId="14" fillId="0" borderId="14" xfId="2" applyNumberFormat="1" applyFont="1" applyFill="1" applyBorder="1" applyAlignment="1">
      <alignment horizontal="center" vertical="center" wrapText="1"/>
    </xf>
    <xf numFmtId="166" fontId="17" fillId="2" borderId="14" xfId="3" applyNumberFormat="1" applyFont="1" applyFill="1" applyBorder="1" applyAlignment="1">
      <alignment horizontal="center" vertical="center" wrapText="1"/>
    </xf>
    <xf numFmtId="9" fontId="17" fillId="2" borderId="14" xfId="3" applyNumberFormat="1" applyFont="1" applyFill="1" applyBorder="1" applyAlignment="1">
      <alignment horizontal="center" vertical="center" wrapText="1"/>
    </xf>
    <xf numFmtId="9" fontId="14" fillId="3" borderId="14" xfId="3" applyNumberFormat="1" applyFont="1" applyFill="1" applyBorder="1" applyAlignment="1">
      <alignment horizontal="center" vertical="center" wrapText="1"/>
    </xf>
    <xf numFmtId="164" fontId="17" fillId="2" borderId="14" xfId="3" applyNumberFormat="1" applyFont="1" applyFill="1" applyBorder="1" applyAlignment="1">
      <alignment horizontal="center" vertical="center" wrapText="1"/>
    </xf>
    <xf numFmtId="166" fontId="17" fillId="2" borderId="13" xfId="3" applyNumberFormat="1" applyFont="1" applyFill="1" applyBorder="1" applyAlignment="1">
      <alignment horizontal="center" vertical="center" wrapText="1"/>
    </xf>
    <xf numFmtId="49" fontId="34" fillId="0" borderId="13" xfId="3" applyNumberFormat="1" applyFont="1" applyFill="1" applyBorder="1" applyAlignment="1">
      <alignment horizontal="center" vertical="center" wrapText="1"/>
    </xf>
    <xf numFmtId="49" fontId="14" fillId="2" borderId="12" xfId="3" applyNumberFormat="1" applyFont="1" applyFill="1" applyBorder="1" applyAlignment="1">
      <alignment horizontal="center" vertical="center" wrapText="1"/>
    </xf>
    <xf numFmtId="164" fontId="55" fillId="2" borderId="13" xfId="3" applyNumberFormat="1" applyFont="1" applyFill="1" applyBorder="1" applyAlignment="1">
      <alignment horizontal="center" vertical="center" wrapText="1"/>
    </xf>
    <xf numFmtId="164" fontId="55" fillId="2" borderId="13" xfId="3" quotePrefix="1" applyNumberFormat="1" applyFont="1" applyFill="1" applyBorder="1" applyAlignment="1">
      <alignment horizontal="center" vertical="center" wrapText="1"/>
    </xf>
    <xf numFmtId="166" fontId="55" fillId="2" borderId="13" xfId="3" applyNumberFormat="1" applyFont="1" applyFill="1" applyBorder="1" applyAlignment="1">
      <alignment horizontal="center" vertical="center" wrapText="1"/>
    </xf>
    <xf numFmtId="166" fontId="55" fillId="2" borderId="13" xfId="3" quotePrefix="1" applyNumberFormat="1" applyFont="1" applyFill="1" applyBorder="1" applyAlignment="1">
      <alignment horizontal="center" vertical="center" wrapText="1"/>
    </xf>
    <xf numFmtId="166" fontId="17" fillId="2" borderId="13" xfId="3" quotePrefix="1" applyNumberFormat="1" applyFont="1" applyFill="1" applyBorder="1" applyAlignment="1">
      <alignment horizontal="center" vertical="center" wrapText="1"/>
    </xf>
    <xf numFmtId="9" fontId="17" fillId="2" borderId="13" xfId="3" applyNumberFormat="1" applyFont="1" applyFill="1" applyBorder="1" applyAlignment="1">
      <alignment horizontal="center" vertical="center" wrapText="1"/>
    </xf>
    <xf numFmtId="9" fontId="17" fillId="2" borderId="13" xfId="3" quotePrefix="1" applyNumberFormat="1" applyFont="1" applyFill="1" applyBorder="1" applyAlignment="1">
      <alignment horizontal="center" vertical="center" wrapText="1"/>
    </xf>
    <xf numFmtId="164" fontId="17" fillId="2" borderId="13" xfId="3" applyNumberFormat="1" applyFont="1" applyFill="1" applyBorder="1" applyAlignment="1">
      <alignment horizontal="center" vertical="center" wrapText="1"/>
    </xf>
    <xf numFmtId="0" fontId="52" fillId="0" borderId="13" xfId="3" applyFont="1" applyBorder="1"/>
    <xf numFmtId="0" fontId="52" fillId="0" borderId="16" xfId="3" applyFont="1" applyBorder="1"/>
    <xf numFmtId="49" fontId="17" fillId="2" borderId="12" xfId="3" applyNumberFormat="1" applyFont="1" applyFill="1" applyBorder="1" applyAlignment="1">
      <alignment horizontal="center" vertical="center" wrapText="1"/>
    </xf>
    <xf numFmtId="0" fontId="18" fillId="0" borderId="13" xfId="3" applyFont="1" applyBorder="1"/>
    <xf numFmtId="0" fontId="18" fillId="0" borderId="16" xfId="3" applyFont="1" applyBorder="1"/>
    <xf numFmtId="49" fontId="34" fillId="2" borderId="12" xfId="3" applyNumberFormat="1" applyFont="1" applyFill="1" applyBorder="1" applyAlignment="1">
      <alignment horizontal="center" vertical="center" wrapText="1"/>
    </xf>
    <xf numFmtId="164" fontId="62" fillId="2" borderId="13" xfId="3" applyNumberFormat="1" applyFont="1" applyFill="1" applyBorder="1" applyAlignment="1">
      <alignment horizontal="center" vertical="center" wrapText="1"/>
    </xf>
    <xf numFmtId="164" fontId="62" fillId="2" borderId="13" xfId="3" quotePrefix="1" applyNumberFormat="1" applyFont="1" applyFill="1" applyBorder="1" applyAlignment="1">
      <alignment horizontal="center" vertical="center" wrapText="1"/>
    </xf>
    <xf numFmtId="166" fontId="77" fillId="2" borderId="13" xfId="3" applyNumberFormat="1" applyFont="1" applyFill="1" applyBorder="1" applyAlignment="1">
      <alignment horizontal="center" vertical="center" wrapText="1"/>
    </xf>
    <xf numFmtId="166" fontId="77" fillId="0" borderId="13" xfId="3" quotePrefix="1" applyNumberFormat="1" applyFont="1" applyFill="1" applyBorder="1" applyAlignment="1">
      <alignment horizontal="center" vertical="center" wrapText="1"/>
    </xf>
    <xf numFmtId="164" fontId="77" fillId="2" borderId="13" xfId="3" applyNumberFormat="1" applyFont="1" applyFill="1" applyBorder="1" applyAlignment="1">
      <alignment horizontal="center" vertical="center" wrapText="1"/>
    </xf>
    <xf numFmtId="164" fontId="77" fillId="2" borderId="13" xfId="3" quotePrefix="1" applyNumberFormat="1" applyFont="1" applyFill="1" applyBorder="1" applyAlignment="1">
      <alignment horizontal="center" vertical="center" wrapText="1"/>
    </xf>
    <xf numFmtId="166" fontId="77" fillId="2" borderId="13" xfId="3" quotePrefix="1" applyNumberFormat="1" applyFont="1" applyFill="1" applyBorder="1" applyAlignment="1">
      <alignment horizontal="center" vertical="center" wrapText="1"/>
    </xf>
    <xf numFmtId="166" fontId="77" fillId="0" borderId="13" xfId="2" applyNumberFormat="1" applyFont="1" applyFill="1" applyBorder="1" applyAlignment="1">
      <alignment horizontal="center" vertical="center" wrapText="1"/>
    </xf>
    <xf numFmtId="166" fontId="77" fillId="0" borderId="13" xfId="3" applyNumberFormat="1" applyFont="1" applyFill="1" applyBorder="1" applyAlignment="1">
      <alignment horizontal="center" vertical="center" wrapText="1"/>
    </xf>
    <xf numFmtId="166" fontId="62" fillId="2" borderId="13" xfId="3" quotePrefix="1" applyNumberFormat="1" applyFont="1" applyFill="1" applyBorder="1" applyAlignment="1">
      <alignment horizontal="center" vertical="center" wrapText="1"/>
    </xf>
    <xf numFmtId="166" fontId="62" fillId="2" borderId="13" xfId="3" applyNumberFormat="1" applyFont="1" applyFill="1" applyBorder="1" applyAlignment="1">
      <alignment horizontal="center" vertical="center" wrapText="1"/>
    </xf>
    <xf numFmtId="165" fontId="62" fillId="0" borderId="13" xfId="2" applyNumberFormat="1" applyFont="1" applyFill="1" applyBorder="1" applyAlignment="1">
      <alignment horizontal="center" vertical="center" wrapText="1"/>
    </xf>
    <xf numFmtId="166" fontId="34" fillId="2" borderId="13" xfId="3" quotePrefix="1" applyNumberFormat="1" applyFont="1" applyFill="1" applyBorder="1" applyAlignment="1">
      <alignment horizontal="center" vertical="center" wrapText="1"/>
    </xf>
    <xf numFmtId="166" fontId="50" fillId="2" borderId="13" xfId="3" quotePrefix="1" applyNumberFormat="1" applyFont="1" applyFill="1" applyBorder="1" applyAlignment="1">
      <alignment horizontal="center" vertical="center" wrapText="1"/>
    </xf>
    <xf numFmtId="166" fontId="50" fillId="2" borderId="13" xfId="3" applyNumberFormat="1" applyFont="1" applyFill="1" applyBorder="1" applyAlignment="1">
      <alignment horizontal="center" vertical="center" wrapText="1"/>
    </xf>
    <xf numFmtId="9" fontId="50" fillId="0" borderId="13" xfId="2" applyNumberFormat="1" applyFont="1" applyFill="1" applyBorder="1" applyAlignment="1">
      <alignment horizontal="center" vertical="center" wrapText="1"/>
    </xf>
    <xf numFmtId="9" fontId="34" fillId="2" borderId="13" xfId="3" applyNumberFormat="1" applyFont="1" applyFill="1" applyBorder="1" applyAlignment="1">
      <alignment horizontal="center" vertical="center" wrapText="1"/>
    </xf>
    <xf numFmtId="9" fontId="34" fillId="2" borderId="13" xfId="3" quotePrefix="1" applyNumberFormat="1" applyFont="1" applyFill="1" applyBorder="1" applyAlignment="1">
      <alignment horizontal="center" vertical="center" wrapText="1"/>
    </xf>
    <xf numFmtId="164" fontId="34" fillId="2" borderId="13" xfId="3" applyNumberFormat="1" applyFont="1" applyFill="1" applyBorder="1" applyAlignment="1">
      <alignment horizontal="center" vertical="center" wrapText="1"/>
    </xf>
    <xf numFmtId="0" fontId="21" fillId="0" borderId="13" xfId="3" applyFont="1" applyBorder="1"/>
    <xf numFmtId="0" fontId="21" fillId="0" borderId="16" xfId="3" applyFont="1" applyBorder="1"/>
    <xf numFmtId="0" fontId="45" fillId="0" borderId="0" xfId="3" applyFont="1"/>
    <xf numFmtId="164" fontId="56" fillId="2" borderId="13" xfId="3" applyNumberFormat="1" applyFont="1" applyFill="1" applyBorder="1" applyAlignment="1">
      <alignment horizontal="center" vertical="center" wrapText="1"/>
    </xf>
    <xf numFmtId="9" fontId="17" fillId="0" borderId="13" xfId="3" quotePrefix="1" applyNumberFormat="1" applyFont="1" applyFill="1" applyBorder="1" applyAlignment="1">
      <alignment horizontal="center" vertical="center" wrapText="1"/>
    </xf>
    <xf numFmtId="164" fontId="60" fillId="0" borderId="13" xfId="3" applyNumberFormat="1" applyFont="1" applyFill="1" applyBorder="1" applyAlignment="1">
      <alignment vertical="center" wrapText="1"/>
    </xf>
    <xf numFmtId="0" fontId="1" fillId="0" borderId="0" xfId="3" applyFont="1"/>
    <xf numFmtId="49" fontId="50" fillId="2" borderId="12" xfId="3" applyNumberFormat="1" applyFont="1" applyFill="1" applyBorder="1" applyAlignment="1">
      <alignment horizontal="center" vertical="center" wrapText="1"/>
    </xf>
    <xf numFmtId="164" fontId="62" fillId="0" borderId="13" xfId="3" applyNumberFormat="1" applyFont="1" applyFill="1" applyBorder="1" applyAlignment="1">
      <alignment vertical="center" wrapText="1"/>
    </xf>
    <xf numFmtId="164" fontId="55" fillId="0" borderId="13" xfId="3" applyNumberFormat="1" applyFont="1" applyFill="1" applyBorder="1" applyAlignment="1">
      <alignment vertical="center" wrapText="1"/>
    </xf>
    <xf numFmtId="0" fontId="78" fillId="0" borderId="13" xfId="3" applyFont="1" applyBorder="1"/>
    <xf numFmtId="0" fontId="78" fillId="0" borderId="16" xfId="3" applyFont="1" applyBorder="1"/>
    <xf numFmtId="0" fontId="79" fillId="0" borderId="0" xfId="3" applyFont="1"/>
    <xf numFmtId="164" fontId="58" fillId="2" borderId="12" xfId="3" applyNumberFormat="1" applyFont="1" applyFill="1" applyBorder="1" applyAlignment="1">
      <alignment horizontal="center" vertical="center" wrapText="1"/>
    </xf>
    <xf numFmtId="164" fontId="80" fillId="2" borderId="13" xfId="3" applyNumberFormat="1" applyFont="1" applyFill="1" applyBorder="1" applyAlignment="1">
      <alignment horizontal="center" vertical="center" wrapText="1"/>
    </xf>
    <xf numFmtId="164" fontId="70" fillId="2" borderId="13" xfId="3" applyNumberFormat="1" applyFont="1" applyFill="1" applyBorder="1" applyAlignment="1">
      <alignment horizontal="center" vertical="center" wrapText="1"/>
    </xf>
    <xf numFmtId="166" fontId="70" fillId="2" borderId="13" xfId="3" applyNumberFormat="1" applyFont="1" applyFill="1" applyBorder="1" applyAlignment="1">
      <alignment horizontal="center" vertical="center" wrapText="1"/>
    </xf>
    <xf numFmtId="164" fontId="40" fillId="2" borderId="13" xfId="3" applyNumberFormat="1" applyFont="1" applyFill="1" applyBorder="1" applyAlignment="1">
      <alignment horizontal="center" vertical="center" wrapText="1"/>
    </xf>
    <xf numFmtId="166" fontId="40" fillId="2" borderId="13" xfId="3" applyNumberFormat="1" applyFont="1" applyFill="1" applyBorder="1" applyAlignment="1">
      <alignment horizontal="center" vertical="center" wrapText="1"/>
    </xf>
    <xf numFmtId="164" fontId="64" fillId="2" borderId="13" xfId="3" applyNumberFormat="1" applyFont="1" applyFill="1" applyBorder="1" applyAlignment="1">
      <alignment horizontal="center" vertical="center" wrapText="1"/>
    </xf>
    <xf numFmtId="164" fontId="65" fillId="2" borderId="13" xfId="3" applyNumberFormat="1" applyFont="1" applyFill="1" applyBorder="1" applyAlignment="1">
      <alignment horizontal="center" vertical="center" wrapText="1"/>
    </xf>
    <xf numFmtId="166" fontId="65" fillId="2" borderId="13" xfId="3" applyNumberFormat="1" applyFont="1" applyFill="1" applyBorder="1" applyAlignment="1">
      <alignment horizontal="center" vertical="center" wrapText="1"/>
    </xf>
    <xf numFmtId="164" fontId="49" fillId="2" borderId="13" xfId="3" applyNumberFormat="1" applyFont="1" applyFill="1" applyBorder="1" applyAlignment="1">
      <alignment horizontal="center" vertical="center" wrapText="1"/>
    </xf>
    <xf numFmtId="164" fontId="17" fillId="2" borderId="13" xfId="3" applyNumberFormat="1" applyFont="1" applyFill="1" applyBorder="1" applyAlignment="1">
      <alignment horizontal="left" vertical="center" wrapText="1"/>
    </xf>
    <xf numFmtId="166" fontId="70" fillId="0" borderId="13" xfId="3" applyNumberFormat="1" applyFont="1" applyFill="1" applyBorder="1" applyAlignment="1">
      <alignment horizontal="center" vertical="center" wrapText="1"/>
    </xf>
    <xf numFmtId="9" fontId="14" fillId="0" borderId="13" xfId="2" applyNumberFormat="1" applyFont="1" applyFill="1" applyBorder="1" applyAlignment="1">
      <alignment horizontal="center" vertical="center" wrapText="1"/>
    </xf>
    <xf numFmtId="0" fontId="66" fillId="0" borderId="13" xfId="3" applyFont="1" applyBorder="1"/>
    <xf numFmtId="0" fontId="66" fillId="0" borderId="16" xfId="3" applyFont="1" applyBorder="1"/>
    <xf numFmtId="0" fontId="67" fillId="0" borderId="0" xfId="3" applyFont="1"/>
    <xf numFmtId="166" fontId="65" fillId="0" borderId="13" xfId="3" applyNumberFormat="1" applyFont="1" applyFill="1" applyBorder="1" applyAlignment="1">
      <alignment horizontal="center" vertical="center" wrapText="1"/>
    </xf>
    <xf numFmtId="49" fontId="17" fillId="2" borderId="18" xfId="3" applyNumberFormat="1" applyFont="1" applyFill="1" applyBorder="1" applyAlignment="1">
      <alignment horizontal="center" vertical="center" wrapText="1"/>
    </xf>
    <xf numFmtId="164" fontId="54" fillId="3" borderId="19" xfId="3" applyNumberFormat="1" applyFont="1" applyFill="1" applyBorder="1" applyAlignment="1">
      <alignment horizontal="center" vertical="center" wrapText="1"/>
    </xf>
    <xf numFmtId="164" fontId="53" fillId="2" borderId="19" xfId="3" applyNumberFormat="1" applyFont="1" applyFill="1" applyBorder="1" applyAlignment="1">
      <alignment horizontal="center" vertical="center" wrapText="1"/>
    </xf>
    <xf numFmtId="164" fontId="53" fillId="2" borderId="19" xfId="3" quotePrefix="1" applyNumberFormat="1" applyFont="1" applyFill="1" applyBorder="1" applyAlignment="1">
      <alignment horizontal="center" vertical="center" wrapText="1"/>
    </xf>
    <xf numFmtId="166" fontId="55" fillId="2" borderId="19" xfId="3" applyNumberFormat="1" applyFont="1" applyFill="1" applyBorder="1" applyAlignment="1">
      <alignment horizontal="center" vertical="center" wrapText="1"/>
    </xf>
    <xf numFmtId="164" fontId="55" fillId="2" borderId="19" xfId="3" applyNumberFormat="1" applyFont="1" applyFill="1" applyBorder="1" applyAlignment="1">
      <alignment horizontal="center" vertical="center" wrapText="1"/>
    </xf>
    <xf numFmtId="164" fontId="55" fillId="2" borderId="19" xfId="3" quotePrefix="1" applyNumberFormat="1" applyFont="1" applyFill="1" applyBorder="1" applyAlignment="1">
      <alignment horizontal="center" vertical="center" wrapText="1"/>
    </xf>
    <xf numFmtId="166" fontId="55" fillId="2" borderId="19" xfId="3" quotePrefix="1" applyNumberFormat="1" applyFont="1" applyFill="1" applyBorder="1" applyAlignment="1">
      <alignment horizontal="center" vertical="center" wrapText="1"/>
    </xf>
    <xf numFmtId="166" fontId="55" fillId="0" borderId="38" xfId="3" applyNumberFormat="1" applyFont="1" applyFill="1" applyBorder="1" applyAlignment="1">
      <alignment horizontal="center" vertical="center" wrapText="1"/>
    </xf>
    <xf numFmtId="166" fontId="17" fillId="2" borderId="38" xfId="3" quotePrefix="1" applyNumberFormat="1" applyFont="1" applyFill="1" applyBorder="1" applyAlignment="1">
      <alignment horizontal="center" vertical="center" wrapText="1"/>
    </xf>
    <xf numFmtId="166" fontId="17" fillId="3" borderId="19" xfId="3" applyNumberFormat="1" applyFont="1" applyFill="1" applyBorder="1" applyAlignment="1">
      <alignment horizontal="center" vertical="center" wrapText="1"/>
    </xf>
    <xf numFmtId="166" fontId="17" fillId="2" borderId="19" xfId="3" quotePrefix="1" applyNumberFormat="1" applyFont="1" applyFill="1" applyBorder="1" applyAlignment="1">
      <alignment horizontal="center" vertical="center" wrapText="1"/>
    </xf>
    <xf numFmtId="164" fontId="60" fillId="0" borderId="38" xfId="3" applyNumberFormat="1" applyFont="1" applyFill="1" applyBorder="1" applyAlignment="1">
      <alignment horizontal="center" vertical="center" wrapText="1"/>
    </xf>
    <xf numFmtId="166" fontId="37" fillId="2" borderId="13" xfId="3" applyNumberFormat="1" applyFont="1" applyFill="1" applyBorder="1" applyAlignment="1">
      <alignment horizontal="center" vertical="center" wrapText="1"/>
    </xf>
    <xf numFmtId="166" fontId="14" fillId="2" borderId="13" xfId="3" quotePrefix="1" applyNumberFormat="1" applyFont="1" applyFill="1" applyBorder="1" applyAlignment="1">
      <alignment horizontal="center" vertical="center" wrapText="1"/>
    </xf>
    <xf numFmtId="0" fontId="71" fillId="0" borderId="13" xfId="3" applyFont="1" applyBorder="1" applyAlignment="1">
      <alignment horizontal="center"/>
    </xf>
    <xf numFmtId="0" fontId="71" fillId="0" borderId="16" xfId="3" applyFont="1" applyBorder="1" applyAlignment="1">
      <alignment horizontal="center"/>
    </xf>
    <xf numFmtId="0" fontId="72" fillId="0" borderId="0" xfId="3" applyFont="1" applyAlignment="1">
      <alignment horizontal="center"/>
    </xf>
    <xf numFmtId="164" fontId="81" fillId="0" borderId="25" xfId="3" applyNumberFormat="1" applyFont="1" applyFill="1" applyBorder="1" applyAlignment="1">
      <alignment vertical="center" wrapText="1"/>
    </xf>
    <xf numFmtId="164" fontId="82" fillId="0" borderId="25" xfId="3" applyNumberFormat="1" applyFont="1" applyFill="1" applyBorder="1" applyAlignment="1">
      <alignment horizontal="center" vertical="center" wrapText="1"/>
    </xf>
    <xf numFmtId="166" fontId="27" fillId="0" borderId="25" xfId="4" applyNumberFormat="1" applyFont="1" applyFill="1" applyBorder="1" applyAlignment="1">
      <alignment horizontal="center" vertical="center" wrapText="1"/>
    </xf>
    <xf numFmtId="165" fontId="27" fillId="0" borderId="25" xfId="2" applyNumberFormat="1" applyFont="1" applyFill="1" applyBorder="1" applyAlignment="1">
      <alignment horizontal="center" vertical="center" wrapText="1"/>
    </xf>
    <xf numFmtId="166" fontId="27" fillId="0" borderId="25" xfId="2" applyNumberFormat="1" applyFont="1" applyFill="1" applyBorder="1" applyAlignment="1">
      <alignment horizontal="center" vertical="center" wrapText="1"/>
    </xf>
    <xf numFmtId="9" fontId="27" fillId="0" borderId="25" xfId="2" applyNumberFormat="1" applyFont="1" applyFill="1" applyBorder="1" applyAlignment="1">
      <alignment horizontal="center" vertical="center" wrapText="1"/>
    </xf>
    <xf numFmtId="9" fontId="26" fillId="0" borderId="24" xfId="2" applyNumberFormat="1" applyFont="1" applyFill="1" applyBorder="1" applyAlignment="1">
      <alignment horizontal="center" vertical="center" wrapText="1"/>
    </xf>
    <xf numFmtId="165" fontId="26" fillId="0" borderId="24" xfId="2" applyNumberFormat="1" applyFont="1" applyFill="1" applyBorder="1" applyAlignment="1">
      <alignment horizontal="center" vertical="center" wrapText="1"/>
    </xf>
    <xf numFmtId="164" fontId="26" fillId="0" borderId="20" xfId="3" applyNumberFormat="1" applyFont="1" applyFill="1" applyBorder="1" applyAlignment="1">
      <alignment horizontal="left" vertical="center" wrapText="1"/>
    </xf>
    <xf numFmtId="9" fontId="26" fillId="0" borderId="13" xfId="2" applyFont="1" applyFill="1" applyBorder="1" applyAlignment="1">
      <alignment horizontal="center" vertical="center" wrapText="1"/>
    </xf>
    <xf numFmtId="166" fontId="26" fillId="0" borderId="13" xfId="3" applyNumberFormat="1" applyFont="1" applyFill="1" applyBorder="1" applyAlignment="1">
      <alignment horizontal="center" vertical="center" wrapText="1"/>
    </xf>
    <xf numFmtId="0" fontId="28" fillId="0" borderId="13" xfId="3" applyFont="1" applyFill="1" applyBorder="1"/>
    <xf numFmtId="0" fontId="28" fillId="0" borderId="16" xfId="3" applyFont="1" applyFill="1" applyBorder="1"/>
    <xf numFmtId="164" fontId="53" fillId="0" borderId="28" xfId="3" applyNumberFormat="1" applyFont="1" applyFill="1" applyBorder="1" applyAlignment="1">
      <alignment horizontal="center" vertical="center" wrapText="1"/>
    </xf>
    <xf numFmtId="164" fontId="53" fillId="0" borderId="14" xfId="3" applyNumberFormat="1" applyFont="1" applyFill="1" applyBorder="1" applyAlignment="1">
      <alignment vertical="center" wrapText="1"/>
    </xf>
    <xf numFmtId="164" fontId="53" fillId="0" borderId="14" xfId="3" applyNumberFormat="1" applyFont="1" applyFill="1" applyBorder="1" applyAlignment="1">
      <alignment horizontal="center" vertical="center" wrapText="1"/>
    </xf>
    <xf numFmtId="166" fontId="53" fillId="0" borderId="14" xfId="3" applyNumberFormat="1" applyFont="1" applyFill="1" applyBorder="1" applyAlignment="1">
      <alignment horizontal="center" vertical="center" wrapText="1"/>
    </xf>
    <xf numFmtId="165" fontId="53" fillId="0" borderId="14" xfId="2" applyNumberFormat="1" applyFont="1" applyFill="1" applyBorder="1" applyAlignment="1">
      <alignment horizontal="center" vertical="center" wrapText="1"/>
    </xf>
    <xf numFmtId="9" fontId="53" fillId="0" borderId="14" xfId="2" applyFont="1" applyFill="1" applyBorder="1" applyAlignment="1">
      <alignment horizontal="center" vertical="center" wrapText="1"/>
    </xf>
    <xf numFmtId="9" fontId="55" fillId="0" borderId="14" xfId="2" applyNumberFormat="1" applyFont="1" applyFill="1" applyBorder="1" applyAlignment="1">
      <alignment horizontal="center" vertical="center" wrapText="1"/>
    </xf>
    <xf numFmtId="166" fontId="17" fillId="0" borderId="14" xfId="3" applyNumberFormat="1" applyFont="1" applyFill="1" applyBorder="1" applyAlignment="1">
      <alignment horizontal="center" vertical="center" wrapText="1"/>
    </xf>
    <xf numFmtId="9" fontId="26" fillId="0" borderId="4" xfId="2" applyNumberFormat="1" applyFont="1" applyFill="1" applyBorder="1" applyAlignment="1">
      <alignment horizontal="center" vertical="center" wrapText="1"/>
    </xf>
    <xf numFmtId="9" fontId="14" fillId="0" borderId="14" xfId="3" applyNumberFormat="1" applyFont="1" applyFill="1" applyBorder="1" applyAlignment="1">
      <alignment horizontal="center" vertical="center" wrapText="1"/>
    </xf>
    <xf numFmtId="164" fontId="14" fillId="0" borderId="14" xfId="3" applyNumberFormat="1" applyFont="1" applyFill="1" applyBorder="1" applyAlignment="1">
      <alignment horizontal="left" vertical="center" wrapText="1"/>
    </xf>
    <xf numFmtId="0" fontId="83" fillId="0" borderId="13" xfId="3" applyFont="1" applyFill="1" applyBorder="1"/>
    <xf numFmtId="0" fontId="83" fillId="0" borderId="16" xfId="3" applyFont="1" applyFill="1" applyBorder="1"/>
    <xf numFmtId="0" fontId="84" fillId="0" borderId="0" xfId="3" applyFont="1" applyFill="1"/>
    <xf numFmtId="164" fontId="55" fillId="0" borderId="12" xfId="3" applyNumberFormat="1" applyFont="1" applyFill="1" applyBorder="1" applyAlignment="1">
      <alignment horizontal="center" vertical="center" wrapText="1"/>
    </xf>
    <xf numFmtId="164" fontId="54" fillId="0" borderId="13" xfId="3" applyNumberFormat="1" applyFont="1" applyFill="1" applyBorder="1" applyAlignment="1">
      <alignment horizontal="center" vertical="center" wrapText="1"/>
    </xf>
    <xf numFmtId="165" fontId="56" fillId="0" borderId="19" xfId="2" applyNumberFormat="1" applyFont="1" applyFill="1" applyBorder="1" applyAlignment="1">
      <alignment horizontal="center" vertical="center" wrapText="1"/>
    </xf>
    <xf numFmtId="166" fontId="55" fillId="0" borderId="14" xfId="3" applyNumberFormat="1" applyFont="1" applyFill="1" applyBorder="1" applyAlignment="1">
      <alignment horizontal="center" vertical="center" wrapText="1"/>
    </xf>
    <xf numFmtId="166" fontId="55" fillId="0" borderId="14" xfId="2" applyNumberFormat="1" applyFont="1" applyFill="1" applyBorder="1" applyAlignment="1">
      <alignment horizontal="center" vertical="center" wrapText="1"/>
    </xf>
    <xf numFmtId="9" fontId="55" fillId="0" borderId="13" xfId="2" applyNumberFormat="1" applyFont="1" applyFill="1" applyBorder="1" applyAlignment="1">
      <alignment horizontal="center" vertical="center" wrapText="1"/>
    </xf>
    <xf numFmtId="9" fontId="26" fillId="0" borderId="15" xfId="2" applyNumberFormat="1" applyFont="1" applyFill="1" applyBorder="1" applyAlignment="1">
      <alignment horizontal="center" vertical="center" wrapText="1"/>
    </xf>
    <xf numFmtId="9" fontId="17" fillId="0" borderId="13" xfId="3" applyNumberFormat="1" applyFont="1" applyFill="1" applyBorder="1" applyAlignment="1">
      <alignment horizontal="center" vertical="center" wrapText="1"/>
    </xf>
    <xf numFmtId="164" fontId="53" fillId="0" borderId="12" xfId="3" applyNumberFormat="1" applyFont="1" applyFill="1" applyBorder="1" applyAlignment="1">
      <alignment horizontal="center" vertical="center" wrapText="1"/>
    </xf>
    <xf numFmtId="164" fontId="53" fillId="0" borderId="13" xfId="3" applyNumberFormat="1" applyFont="1" applyFill="1" applyBorder="1" applyAlignment="1">
      <alignment horizontal="center" vertical="center" wrapText="1"/>
    </xf>
    <xf numFmtId="166" fontId="53" fillId="0" borderId="13" xfId="3" applyNumberFormat="1" applyFont="1" applyFill="1" applyBorder="1" applyAlignment="1">
      <alignment horizontal="center" vertical="center" wrapText="1"/>
    </xf>
    <xf numFmtId="165" fontId="53" fillId="0" borderId="13" xfId="2" applyNumberFormat="1" applyFont="1" applyFill="1" applyBorder="1" applyAlignment="1">
      <alignment horizontal="center" vertical="center" wrapText="1"/>
    </xf>
    <xf numFmtId="164" fontId="14" fillId="0" borderId="13" xfId="3" applyNumberFormat="1" applyFont="1" applyFill="1" applyBorder="1" applyAlignment="1">
      <alignment horizontal="left" vertical="center" wrapText="1"/>
    </xf>
    <xf numFmtId="164" fontId="55" fillId="0" borderId="18" xfId="3" applyNumberFormat="1" applyFont="1" applyFill="1" applyBorder="1" applyAlignment="1">
      <alignment horizontal="center" vertical="center" wrapText="1"/>
    </xf>
    <xf numFmtId="164" fontId="65" fillId="0" borderId="19" xfId="3" applyNumberFormat="1" applyFont="1" applyFill="1" applyBorder="1" applyAlignment="1">
      <alignment horizontal="center" vertical="center" wrapText="1"/>
    </xf>
    <xf numFmtId="166" fontId="65" fillId="0" borderId="19" xfId="3" applyNumberFormat="1" applyFont="1" applyFill="1" applyBorder="1" applyAlignment="1">
      <alignment horizontal="center" vertical="center" wrapText="1"/>
    </xf>
    <xf numFmtId="166" fontId="53" fillId="0" borderId="19" xfId="2" applyNumberFormat="1" applyFont="1" applyFill="1" applyBorder="1" applyAlignment="1">
      <alignment horizontal="center" vertical="center" wrapText="1"/>
    </xf>
    <xf numFmtId="166" fontId="55" fillId="0" borderId="15" xfId="2" applyNumberFormat="1" applyFont="1" applyFill="1" applyBorder="1" applyAlignment="1">
      <alignment horizontal="center" vertical="center" wrapText="1"/>
    </xf>
    <xf numFmtId="166" fontId="54" fillId="0" borderId="19" xfId="2" applyNumberFormat="1" applyFont="1" applyFill="1" applyBorder="1" applyAlignment="1">
      <alignment horizontal="center" vertical="center" wrapText="1"/>
    </xf>
    <xf numFmtId="166" fontId="55" fillId="0" borderId="15" xfId="3" applyNumberFormat="1" applyFont="1" applyFill="1" applyBorder="1" applyAlignment="1">
      <alignment horizontal="center" vertical="center" wrapText="1"/>
    </xf>
    <xf numFmtId="164" fontId="17" fillId="0" borderId="38" xfId="3" applyNumberFormat="1" applyFont="1" applyFill="1" applyBorder="1" applyAlignment="1">
      <alignment horizontal="left" vertical="center" wrapText="1"/>
    </xf>
    <xf numFmtId="49" fontId="81" fillId="0" borderId="35" xfId="3" applyNumberFormat="1" applyFont="1" applyFill="1" applyBorder="1" applyAlignment="1">
      <alignment horizontal="center" vertical="center" wrapText="1"/>
    </xf>
    <xf numFmtId="49" fontId="54" fillId="0" borderId="25" xfId="3" applyNumberFormat="1" applyFont="1" applyFill="1" applyBorder="1" applyAlignment="1">
      <alignment horizontal="center" vertical="center" wrapText="1"/>
    </xf>
    <xf numFmtId="166" fontId="17" fillId="0" borderId="25" xfId="3" applyNumberFormat="1" applyFont="1" applyFill="1" applyBorder="1" applyAlignment="1">
      <alignment horizontal="center" vertical="center" wrapText="1"/>
    </xf>
    <xf numFmtId="166" fontId="26" fillId="0" borderId="39" xfId="3" applyNumberFormat="1" applyFont="1" applyFill="1" applyBorder="1" applyAlignment="1">
      <alignment horizontal="center" vertical="center" wrapText="1"/>
    </xf>
    <xf numFmtId="9" fontId="26" fillId="0" borderId="39" xfId="3" applyNumberFormat="1" applyFont="1" applyFill="1" applyBorder="1" applyAlignment="1">
      <alignment horizontal="center" vertical="center" wrapText="1"/>
    </xf>
    <xf numFmtId="166" fontId="26" fillId="0" borderId="20" xfId="3" applyNumberFormat="1" applyFont="1" applyFill="1" applyBorder="1" applyAlignment="1">
      <alignment horizontal="center" vertical="center" wrapText="1"/>
    </xf>
    <xf numFmtId="9" fontId="26" fillId="0" borderId="20" xfId="3" applyNumberFormat="1" applyFont="1" applyFill="1" applyBorder="1" applyAlignment="1">
      <alignment horizontal="center" vertical="center" wrapText="1"/>
    </xf>
    <xf numFmtId="164" fontId="26" fillId="0" borderId="14" xfId="3" applyNumberFormat="1" applyFont="1" applyFill="1" applyBorder="1" applyAlignment="1">
      <alignment horizontal="left" vertical="center" wrapText="1"/>
    </xf>
    <xf numFmtId="164" fontId="53" fillId="0" borderId="36" xfId="3" applyNumberFormat="1" applyFont="1" applyFill="1" applyBorder="1" applyAlignment="1">
      <alignment horizontal="center" vertical="center" wrapText="1"/>
    </xf>
    <xf numFmtId="164" fontId="55" fillId="0" borderId="15" xfId="3" applyNumberFormat="1" applyFont="1" applyFill="1" applyBorder="1" applyAlignment="1">
      <alignment vertical="center" wrapText="1"/>
    </xf>
    <xf numFmtId="164" fontId="54" fillId="0" borderId="15" xfId="3" applyNumberFormat="1" applyFont="1" applyFill="1" applyBorder="1" applyAlignment="1">
      <alignment horizontal="center" vertical="center" wrapText="1"/>
    </xf>
    <xf numFmtId="164" fontId="55" fillId="0" borderId="15" xfId="3" applyNumberFormat="1" applyFont="1" applyFill="1" applyBorder="1" applyAlignment="1">
      <alignment horizontal="center" vertical="center" wrapText="1"/>
    </xf>
    <xf numFmtId="164" fontId="65" fillId="0" borderId="15" xfId="3" applyNumberFormat="1" applyFont="1" applyFill="1" applyBorder="1" applyAlignment="1">
      <alignment horizontal="center" vertical="center" wrapText="1"/>
    </xf>
    <xf numFmtId="166" fontId="17" fillId="0" borderId="15" xfId="3" applyNumberFormat="1" applyFont="1" applyFill="1" applyBorder="1" applyAlignment="1">
      <alignment horizontal="center" vertical="center" wrapText="1"/>
    </xf>
    <xf numFmtId="166" fontId="49" fillId="0" borderId="15" xfId="3" applyNumberFormat="1" applyFont="1" applyFill="1" applyBorder="1" applyAlignment="1">
      <alignment horizontal="center" vertical="center" wrapText="1"/>
    </xf>
    <xf numFmtId="164" fontId="17" fillId="0" borderId="15" xfId="3" applyNumberFormat="1" applyFont="1" applyFill="1" applyBorder="1" applyAlignment="1">
      <alignment horizontal="center" vertical="center" wrapText="1"/>
    </xf>
    <xf numFmtId="166" fontId="58" fillId="0" borderId="15" xfId="4" applyNumberFormat="1" applyFont="1" applyFill="1" applyBorder="1" applyAlignment="1">
      <alignment horizontal="center" vertical="center" wrapText="1"/>
    </xf>
    <xf numFmtId="165" fontId="58" fillId="0" borderId="15" xfId="2" applyNumberFormat="1" applyFont="1" applyFill="1" applyBorder="1" applyAlignment="1">
      <alignment horizontal="center" vertical="center" wrapText="1"/>
    </xf>
    <xf numFmtId="166" fontId="58" fillId="0" borderId="15" xfId="2" applyNumberFormat="1" applyFont="1" applyFill="1" applyBorder="1" applyAlignment="1">
      <alignment horizontal="center" vertical="center" wrapText="1"/>
    </xf>
    <xf numFmtId="165" fontId="58" fillId="0" borderId="14" xfId="2" applyNumberFormat="1" applyFont="1" applyFill="1" applyBorder="1" applyAlignment="1">
      <alignment horizontal="center" vertical="center" wrapText="1"/>
    </xf>
    <xf numFmtId="166" fontId="15" fillId="0" borderId="15" xfId="2" applyNumberFormat="1" applyFont="1" applyFill="1" applyBorder="1" applyAlignment="1">
      <alignment horizontal="center" vertical="center" wrapText="1"/>
    </xf>
    <xf numFmtId="9" fontId="17" fillId="0" borderId="15" xfId="3" applyNumberFormat="1" applyFont="1" applyFill="1" applyBorder="1" applyAlignment="1">
      <alignment horizontal="center" vertical="center" wrapText="1"/>
    </xf>
    <xf numFmtId="164" fontId="81" fillId="0" borderId="35" xfId="3" applyNumberFormat="1" applyFont="1" applyFill="1" applyBorder="1" applyAlignment="1">
      <alignment horizontal="center" vertical="center" wrapText="1"/>
    </xf>
    <xf numFmtId="164" fontId="81" fillId="0" borderId="25" xfId="3" applyNumberFormat="1" applyFont="1" applyFill="1" applyBorder="1" applyAlignment="1">
      <alignment horizontal="center" vertical="center" wrapText="1"/>
    </xf>
    <xf numFmtId="165" fontId="26" fillId="3" borderId="25" xfId="2" applyNumberFormat="1" applyFont="1" applyFill="1" applyBorder="1" applyAlignment="1">
      <alignment horizontal="center" vertical="center" wrapText="1"/>
    </xf>
    <xf numFmtId="9" fontId="26" fillId="3" borderId="25" xfId="2" applyNumberFormat="1" applyFont="1" applyFill="1" applyBorder="1" applyAlignment="1">
      <alignment horizontal="center" vertical="center" wrapText="1"/>
    </xf>
    <xf numFmtId="164" fontId="26" fillId="0" borderId="38" xfId="3" applyNumberFormat="1" applyFont="1" applyFill="1" applyBorder="1" applyAlignment="1">
      <alignment horizontal="center" vertical="center" wrapText="1"/>
    </xf>
    <xf numFmtId="166" fontId="85" fillId="0" borderId="13" xfId="3" applyNumberFormat="1" applyFont="1" applyBorder="1"/>
    <xf numFmtId="166" fontId="85" fillId="0" borderId="16" xfId="3" applyNumberFormat="1" applyFont="1" applyBorder="1"/>
    <xf numFmtId="0" fontId="86" fillId="0" borderId="0" xfId="3" applyFont="1"/>
    <xf numFmtId="164" fontId="34" fillId="3" borderId="28" xfId="3" applyNumberFormat="1" applyFont="1" applyFill="1" applyBorder="1" applyAlignment="1">
      <alignment horizontal="center" vertical="center" wrapText="1"/>
    </xf>
    <xf numFmtId="164" fontId="34" fillId="3" borderId="14" xfId="3" applyNumberFormat="1" applyFont="1" applyFill="1" applyBorder="1" applyAlignment="1">
      <alignment horizontal="center" vertical="center" wrapText="1"/>
    </xf>
    <xf numFmtId="166" fontId="35" fillId="0" borderId="25" xfId="4" applyNumberFormat="1" applyFont="1" applyFill="1" applyBorder="1" applyAlignment="1">
      <alignment horizontal="center" vertical="center" wrapText="1"/>
    </xf>
    <xf numFmtId="165" fontId="35" fillId="0" borderId="25" xfId="2" applyNumberFormat="1" applyFont="1" applyFill="1" applyBorder="1" applyAlignment="1">
      <alignment horizontal="center" vertical="center" wrapText="1"/>
    </xf>
    <xf numFmtId="166" fontId="35" fillId="0" borderId="25" xfId="2" applyNumberFormat="1" applyFont="1" applyFill="1" applyBorder="1" applyAlignment="1">
      <alignment horizontal="center" vertical="center" wrapText="1"/>
    </xf>
    <xf numFmtId="9" fontId="14" fillId="3" borderId="14" xfId="2" applyNumberFormat="1" applyFont="1" applyFill="1" applyBorder="1" applyAlignment="1">
      <alignment horizontal="center" vertical="center" wrapText="1"/>
    </xf>
    <xf numFmtId="165" fontId="14" fillId="3" borderId="14" xfId="2" applyNumberFormat="1" applyFont="1" applyFill="1" applyBorder="1" applyAlignment="1">
      <alignment horizontal="center" vertical="center" wrapText="1"/>
    </xf>
    <xf numFmtId="166" fontId="51" fillId="0" borderId="13" xfId="3" applyNumberFormat="1" applyFont="1" applyBorder="1"/>
    <xf numFmtId="166" fontId="51" fillId="0" borderId="16" xfId="3" applyNumberFormat="1" applyFont="1" applyBorder="1"/>
    <xf numFmtId="0" fontId="2" fillId="0" borderId="0" xfId="3" applyFont="1"/>
    <xf numFmtId="164" fontId="14" fillId="3" borderId="25" xfId="3" applyNumberFormat="1" applyFont="1" applyFill="1" applyBorder="1" applyAlignment="1">
      <alignment horizontal="center" vertical="center" wrapText="1"/>
    </xf>
    <xf numFmtId="164" fontId="14" fillId="2" borderId="25" xfId="3" applyNumberFormat="1" applyFont="1" applyFill="1" applyBorder="1" applyAlignment="1">
      <alignment horizontal="center" vertical="center" wrapText="1"/>
    </xf>
    <xf numFmtId="166" fontId="14" fillId="2" borderId="25" xfId="3" applyNumberFormat="1" applyFont="1" applyFill="1" applyBorder="1" applyAlignment="1">
      <alignment horizontal="center" vertical="center" wrapText="1"/>
    </xf>
    <xf numFmtId="165" fontId="14" fillId="2" borderId="25" xfId="2" applyNumberFormat="1" applyFont="1" applyFill="1" applyBorder="1" applyAlignment="1">
      <alignment horizontal="center" vertical="center" wrapText="1"/>
    </xf>
    <xf numFmtId="9" fontId="14" fillId="3" borderId="20" xfId="2" applyNumberFormat="1" applyFont="1" applyFill="1" applyBorder="1" applyAlignment="1">
      <alignment horizontal="center" vertical="center" wrapText="1"/>
    </xf>
    <xf numFmtId="165" fontId="14" fillId="3" borderId="20" xfId="2" applyNumberFormat="1" applyFont="1" applyFill="1" applyBorder="1" applyAlignment="1">
      <alignment horizontal="center" vertical="center" wrapText="1"/>
    </xf>
    <xf numFmtId="164" fontId="14" fillId="2" borderId="38" xfId="3" applyNumberFormat="1" applyFont="1" applyFill="1" applyBorder="1" applyAlignment="1">
      <alignment horizontal="center" vertical="center" wrapText="1"/>
    </xf>
    <xf numFmtId="164" fontId="47" fillId="3" borderId="0" xfId="3" applyNumberFormat="1" applyFont="1" applyFill="1"/>
    <xf numFmtId="3" fontId="26" fillId="0" borderId="40" xfId="3" applyNumberFormat="1" applyFont="1" applyFill="1" applyBorder="1" applyAlignment="1">
      <alignment horizontal="center" vertical="center" wrapText="1"/>
    </xf>
    <xf numFmtId="164" fontId="81" fillId="0" borderId="20" xfId="3" applyNumberFormat="1" applyFont="1" applyFill="1" applyBorder="1" applyAlignment="1">
      <alignment horizontal="center" vertical="center" wrapText="1"/>
    </xf>
    <xf numFmtId="164" fontId="26" fillId="0" borderId="20" xfId="3" applyNumberFormat="1" applyFont="1" applyFill="1" applyBorder="1" applyAlignment="1">
      <alignment horizontal="center" vertical="center" wrapText="1"/>
    </xf>
    <xf numFmtId="166" fontId="26" fillId="0" borderId="20" xfId="2" applyNumberFormat="1" applyFont="1" applyFill="1" applyBorder="1" applyAlignment="1">
      <alignment horizontal="center" vertical="center" wrapText="1"/>
    </xf>
    <xf numFmtId="165" fontId="26" fillId="3" borderId="20" xfId="2" applyNumberFormat="1" applyFont="1" applyFill="1" applyBorder="1" applyAlignment="1">
      <alignment horizontal="center" vertical="center" wrapText="1"/>
    </xf>
    <xf numFmtId="164" fontId="26" fillId="0" borderId="25" xfId="3" applyNumberFormat="1" applyFont="1" applyFill="1" applyBorder="1" applyAlignment="1">
      <alignment horizontal="left" vertical="center"/>
    </xf>
    <xf numFmtId="166" fontId="26" fillId="2" borderId="14" xfId="3" applyNumberFormat="1" applyFont="1" applyFill="1" applyBorder="1" applyAlignment="1">
      <alignment horizontal="center" vertical="center" wrapText="1"/>
    </xf>
    <xf numFmtId="0" fontId="87" fillId="0" borderId="14" xfId="3" applyFont="1" applyBorder="1"/>
    <xf numFmtId="0" fontId="87" fillId="0" borderId="17" xfId="3" applyFont="1" applyBorder="1"/>
    <xf numFmtId="0" fontId="88" fillId="0" borderId="0" xfId="3" applyFont="1"/>
    <xf numFmtId="0" fontId="4" fillId="0" borderId="0" xfId="3" applyFont="1"/>
    <xf numFmtId="164" fontId="15" fillId="0" borderId="28" xfId="3" applyNumberFormat="1" applyFont="1" applyFill="1" applyBorder="1" applyAlignment="1">
      <alignment horizontal="center" vertical="center" wrapText="1"/>
    </xf>
    <xf numFmtId="164" fontId="57" fillId="0" borderId="14" xfId="3" applyNumberFormat="1" applyFont="1" applyFill="1" applyBorder="1" applyAlignment="1">
      <alignment horizontal="center" vertical="center" wrapText="1"/>
    </xf>
    <xf numFmtId="9" fontId="14" fillId="3" borderId="4" xfId="2" applyNumberFormat="1" applyFont="1" applyFill="1" applyBorder="1" applyAlignment="1">
      <alignment horizontal="center" vertical="center" wrapText="1"/>
    </xf>
    <xf numFmtId="165" fontId="14" fillId="3" borderId="4" xfId="2" applyNumberFormat="1" applyFont="1" applyFill="1" applyBorder="1" applyAlignment="1">
      <alignment horizontal="center" vertical="center" wrapText="1"/>
    </xf>
    <xf numFmtId="9" fontId="15" fillId="0" borderId="13" xfId="2" applyFont="1" applyFill="1" applyBorder="1" applyAlignment="1">
      <alignment horizontal="center" vertical="center" wrapText="1"/>
    </xf>
    <xf numFmtId="0" fontId="43" fillId="0" borderId="13" xfId="3" applyFont="1" applyBorder="1"/>
    <xf numFmtId="0" fontId="43" fillId="0" borderId="16" xfId="3" applyFont="1" applyBorder="1"/>
    <xf numFmtId="0" fontId="3" fillId="0" borderId="0" xfId="3" applyFont="1"/>
    <xf numFmtId="164" fontId="15" fillId="0" borderId="12" xfId="3" applyNumberFormat="1" applyFont="1" applyFill="1" applyBorder="1" applyAlignment="1">
      <alignment horizontal="center" vertical="center" wrapText="1"/>
    </xf>
    <xf numFmtId="164" fontId="57" fillId="0" borderId="13" xfId="3" applyNumberFormat="1" applyFont="1" applyFill="1" applyBorder="1" applyAlignment="1">
      <alignment horizontal="center" vertical="center" wrapText="1"/>
    </xf>
    <xf numFmtId="166" fontId="14" fillId="0" borderId="13" xfId="2" applyNumberFormat="1" applyFont="1" applyFill="1" applyBorder="1" applyAlignment="1">
      <alignment horizontal="center" vertical="center" wrapText="1"/>
    </xf>
    <xf numFmtId="165" fontId="17" fillId="3" borderId="14" xfId="2" applyNumberFormat="1" applyFont="1" applyFill="1" applyBorder="1" applyAlignment="1">
      <alignment horizontal="center" vertical="center" wrapText="1"/>
    </xf>
    <xf numFmtId="9" fontId="17" fillId="3" borderId="13" xfId="2" applyNumberFormat="1" applyFont="1" applyFill="1" applyBorder="1" applyAlignment="1">
      <alignment horizontal="center" vertical="center" wrapText="1"/>
    </xf>
    <xf numFmtId="9" fontId="14" fillId="3" borderId="13" xfId="2" applyNumberFormat="1" applyFont="1" applyFill="1" applyBorder="1" applyAlignment="1">
      <alignment horizontal="center" vertical="center" wrapText="1"/>
    </xf>
    <xf numFmtId="165" fontId="17" fillId="3" borderId="13" xfId="2" applyNumberFormat="1" applyFont="1" applyFill="1" applyBorder="1" applyAlignment="1">
      <alignment horizontal="center" vertical="center" wrapText="1"/>
    </xf>
    <xf numFmtId="164" fontId="14" fillId="0" borderId="13" xfId="3" applyNumberFormat="1" applyFont="1" applyFill="1" applyBorder="1" applyAlignment="1">
      <alignment horizontal="left" vertical="center"/>
    </xf>
    <xf numFmtId="0" fontId="44" fillId="0" borderId="13" xfId="3" applyFont="1" applyBorder="1"/>
    <xf numFmtId="0" fontId="44" fillId="0" borderId="16" xfId="3" applyFont="1" applyBorder="1"/>
    <xf numFmtId="164" fontId="38" fillId="2" borderId="13" xfId="3" applyNumberFormat="1" applyFont="1" applyFill="1" applyBorder="1" applyAlignment="1">
      <alignment horizontal="center" vertical="center" wrapText="1"/>
    </xf>
    <xf numFmtId="0" fontId="89" fillId="0" borderId="0" xfId="3" applyFont="1"/>
    <xf numFmtId="0" fontId="90" fillId="0" borderId="13" xfId="3" applyFont="1" applyBorder="1"/>
    <xf numFmtId="0" fontId="90" fillId="0" borderId="16" xfId="3" applyFont="1" applyBorder="1"/>
    <xf numFmtId="49" fontId="91" fillId="0" borderId="2" xfId="3" applyNumberFormat="1" applyFont="1" applyFill="1" applyBorder="1" applyAlignment="1">
      <alignment vertical="center"/>
    </xf>
    <xf numFmtId="49" fontId="82" fillId="0" borderId="25" xfId="3" applyNumberFormat="1" applyFont="1" applyFill="1" applyBorder="1" applyAlignment="1">
      <alignment horizontal="center" vertical="center" wrapText="1"/>
    </xf>
    <xf numFmtId="165" fontId="14" fillId="3" borderId="13" xfId="2" applyNumberFormat="1" applyFont="1" applyFill="1" applyBorder="1" applyAlignment="1">
      <alignment horizontal="center" vertical="center" wrapText="1"/>
    </xf>
    <xf numFmtId="49" fontId="93" fillId="0" borderId="41" xfId="3" applyNumberFormat="1" applyFont="1" applyFill="1" applyBorder="1" applyAlignment="1">
      <alignment vertical="center"/>
    </xf>
    <xf numFmtId="166" fontId="34" fillId="0" borderId="13" xfId="2" applyNumberFormat="1" applyFont="1" applyFill="1" applyBorder="1" applyAlignment="1">
      <alignment horizontal="center" vertical="center" wrapText="1"/>
    </xf>
    <xf numFmtId="165" fontId="34" fillId="0" borderId="14" xfId="2" applyNumberFormat="1" applyFont="1" applyFill="1" applyBorder="1" applyAlignment="1">
      <alignment horizontal="center" vertical="center" wrapText="1"/>
    </xf>
    <xf numFmtId="9" fontId="35" fillId="0" borderId="14" xfId="2" applyNumberFormat="1" applyFont="1" applyFill="1" applyBorder="1" applyAlignment="1">
      <alignment horizontal="center" vertical="center" wrapText="1"/>
    </xf>
    <xf numFmtId="9" fontId="34" fillId="3" borderId="13" xfId="2" applyNumberFormat="1" applyFont="1" applyFill="1" applyBorder="1" applyAlignment="1">
      <alignment horizontal="center" vertical="center" wrapText="1"/>
    </xf>
    <xf numFmtId="166" fontId="34" fillId="0" borderId="13" xfId="4" applyNumberFormat="1" applyFont="1" applyFill="1" applyBorder="1" applyAlignment="1">
      <alignment horizontal="center" vertical="center" wrapText="1"/>
    </xf>
    <xf numFmtId="0" fontId="45" fillId="4" borderId="0" xfId="3" applyFont="1" applyFill="1"/>
    <xf numFmtId="49" fontId="16" fillId="0" borderId="41" xfId="3" applyNumberFormat="1" applyFont="1" applyFill="1" applyBorder="1" applyAlignment="1">
      <alignment vertical="center"/>
    </xf>
    <xf numFmtId="164" fontId="77" fillId="0" borderId="13" xfId="3" applyNumberFormat="1" applyFont="1" applyFill="1" applyBorder="1" applyAlignment="1">
      <alignment horizontal="center" vertical="center" wrapText="1"/>
    </xf>
    <xf numFmtId="166" fontId="17" fillId="0" borderId="13" xfId="2" applyNumberFormat="1" applyFont="1" applyFill="1" applyBorder="1" applyAlignment="1">
      <alignment horizontal="center" vertical="center" wrapText="1"/>
    </xf>
    <xf numFmtId="166" fontId="58" fillId="0" borderId="13" xfId="2" applyNumberFormat="1" applyFont="1" applyFill="1" applyBorder="1" applyAlignment="1">
      <alignment horizontal="center" vertical="center" wrapText="1"/>
    </xf>
    <xf numFmtId="164" fontId="92" fillId="0" borderId="13" xfId="3" applyNumberFormat="1" applyFont="1" applyFill="1" applyBorder="1" applyAlignment="1">
      <alignment horizontal="left" vertical="center" wrapText="1"/>
    </xf>
    <xf numFmtId="0" fontId="51" fillId="0" borderId="13" xfId="3" applyFont="1" applyBorder="1"/>
    <xf numFmtId="0" fontId="51" fillId="0" borderId="16" xfId="3" applyFont="1" applyBorder="1"/>
    <xf numFmtId="164" fontId="58" fillId="0" borderId="12" xfId="3" applyNumberFormat="1" applyFont="1" applyFill="1" applyBorder="1" applyAlignment="1">
      <alignment horizontal="center" vertical="center"/>
    </xf>
    <xf numFmtId="0" fontId="5" fillId="4" borderId="0" xfId="3" applyFont="1" applyFill="1"/>
    <xf numFmtId="166" fontId="18" fillId="0" borderId="13" xfId="3" applyNumberFormat="1" applyFont="1" applyBorder="1" applyAlignment="1">
      <alignment horizontal="center"/>
    </xf>
    <xf numFmtId="166" fontId="5" fillId="0" borderId="0" xfId="3" applyNumberFormat="1" applyFont="1"/>
    <xf numFmtId="0" fontId="47" fillId="0" borderId="0" xfId="3" applyFont="1"/>
    <xf numFmtId="164" fontId="14" fillId="0" borderId="12" xfId="3" applyNumberFormat="1" applyFont="1" applyFill="1" applyBorder="1" applyAlignment="1">
      <alignment horizontal="center" vertical="center"/>
    </xf>
    <xf numFmtId="0" fontId="46" fillId="0" borderId="13" xfId="3" applyFont="1" applyBorder="1"/>
    <xf numFmtId="0" fontId="46" fillId="0" borderId="16" xfId="3" applyFont="1" applyBorder="1"/>
    <xf numFmtId="164" fontId="14" fillId="0" borderId="12" xfId="3" applyNumberFormat="1" applyFont="1" applyFill="1" applyBorder="1" applyAlignment="1">
      <alignment horizontal="center" vertical="center" wrapText="1"/>
    </xf>
    <xf numFmtId="164" fontId="53" fillId="2" borderId="13" xfId="3" applyNumberFormat="1" applyFont="1" applyFill="1" applyBorder="1" applyAlignment="1">
      <alignment horizontal="center" vertical="center" wrapText="1"/>
    </xf>
    <xf numFmtId="0" fontId="83" fillId="0" borderId="13" xfId="3" applyFont="1" applyBorder="1"/>
    <xf numFmtId="0" fontId="83" fillId="0" borderId="16" xfId="3" applyFont="1" applyBorder="1"/>
    <xf numFmtId="0" fontId="84" fillId="0" borderId="0" xfId="3" applyFont="1"/>
    <xf numFmtId="164" fontId="94" fillId="0" borderId="13" xfId="3" applyNumberFormat="1" applyFont="1" applyFill="1" applyBorder="1" applyAlignment="1">
      <alignment vertical="center" wrapText="1"/>
    </xf>
    <xf numFmtId="164" fontId="95" fillId="0" borderId="13" xfId="3" applyNumberFormat="1" applyFont="1" applyFill="1" applyBorder="1" applyAlignment="1">
      <alignment horizontal="center" vertical="center" wrapText="1"/>
    </xf>
    <xf numFmtId="164" fontId="38" fillId="0" borderId="13" xfId="3" applyNumberFormat="1" applyFont="1" applyFill="1" applyBorder="1" applyAlignment="1">
      <alignment horizontal="center" vertical="center" wrapText="1"/>
    </xf>
    <xf numFmtId="164" fontId="37" fillId="0" borderId="13" xfId="3" applyNumberFormat="1" applyFont="1" applyFill="1" applyBorder="1" applyAlignment="1">
      <alignment horizontal="center" vertical="center" wrapText="1"/>
    </xf>
    <xf numFmtId="166" fontId="30" fillId="2" borderId="13" xfId="3" applyNumberFormat="1" applyFont="1" applyFill="1" applyBorder="1" applyAlignment="1">
      <alignment horizontal="center" vertical="center" wrapText="1"/>
    </xf>
    <xf numFmtId="166" fontId="15" fillId="0" borderId="13" xfId="4" applyNumberFormat="1" applyFont="1" applyFill="1" applyBorder="1" applyAlignment="1">
      <alignment horizontal="center" vertical="center" wrapText="1"/>
    </xf>
    <xf numFmtId="166" fontId="58" fillId="0" borderId="13" xfId="4" applyNumberFormat="1" applyFont="1" applyFill="1" applyBorder="1" applyAlignment="1">
      <alignment horizontal="center" vertical="center" wrapText="1"/>
    </xf>
    <xf numFmtId="0" fontId="18" fillId="0" borderId="0" xfId="3" applyFont="1"/>
    <xf numFmtId="9" fontId="15" fillId="0" borderId="13" xfId="2" applyNumberFormat="1" applyFont="1" applyFill="1" applyBorder="1" applyAlignment="1">
      <alignment horizontal="center" vertical="center" wrapText="1"/>
    </xf>
    <xf numFmtId="164" fontId="15" fillId="0" borderId="18" xfId="3" applyNumberFormat="1" applyFont="1" applyFill="1" applyBorder="1" applyAlignment="1">
      <alignment horizontal="center" vertical="center" wrapText="1"/>
    </xf>
    <xf numFmtId="164" fontId="55" fillId="0" borderId="19" xfId="3" applyNumberFormat="1" applyFont="1" applyFill="1" applyBorder="1" applyAlignment="1">
      <alignment vertical="center" wrapText="1"/>
    </xf>
    <xf numFmtId="166" fontId="14" fillId="0" borderId="19" xfId="2" applyNumberFormat="1" applyFont="1" applyFill="1" applyBorder="1" applyAlignment="1">
      <alignment horizontal="center" vertical="center" wrapText="1"/>
    </xf>
    <xf numFmtId="166" fontId="58" fillId="0" borderId="19" xfId="2" applyNumberFormat="1" applyFont="1" applyFill="1" applyBorder="1" applyAlignment="1">
      <alignment horizontal="center" vertical="center" wrapText="1"/>
    </xf>
    <xf numFmtId="166" fontId="14" fillId="2" borderId="19" xfId="3" applyNumberFormat="1" applyFont="1" applyFill="1" applyBorder="1" applyAlignment="1">
      <alignment horizontal="center" vertical="center" wrapText="1"/>
    </xf>
    <xf numFmtId="9" fontId="14" fillId="0" borderId="19" xfId="2" applyNumberFormat="1" applyFont="1" applyFill="1" applyBorder="1" applyAlignment="1">
      <alignment horizontal="center" vertical="center" wrapText="1"/>
    </xf>
    <xf numFmtId="9" fontId="17" fillId="3" borderId="38" xfId="2" applyNumberFormat="1" applyFont="1" applyFill="1" applyBorder="1" applyAlignment="1">
      <alignment horizontal="center" vertical="center" wrapText="1"/>
    </xf>
    <xf numFmtId="166" fontId="17" fillId="0" borderId="20" xfId="3" applyNumberFormat="1" applyFont="1" applyFill="1" applyBorder="1" applyAlignment="1">
      <alignment horizontal="center" vertical="center" wrapText="1"/>
    </xf>
    <xf numFmtId="164" fontId="92" fillId="0" borderId="38" xfId="3" applyNumberFormat="1" applyFont="1" applyFill="1" applyBorder="1" applyAlignment="1">
      <alignment horizontal="left" vertical="center" wrapText="1"/>
    </xf>
    <xf numFmtId="164" fontId="26" fillId="0" borderId="35" xfId="3" applyNumberFormat="1" applyFont="1" applyFill="1" applyBorder="1" applyAlignment="1">
      <alignment horizontal="center" vertical="center" wrapText="1"/>
    </xf>
    <xf numFmtId="9" fontId="26" fillId="0" borderId="25" xfId="3" applyNumberFormat="1" applyFont="1" applyFill="1" applyBorder="1" applyAlignment="1">
      <alignment horizontal="center" vertical="center" wrapText="1"/>
    </xf>
    <xf numFmtId="164" fontId="17" fillId="0" borderId="25" xfId="3" applyNumberFormat="1" applyFont="1" applyFill="1" applyBorder="1" applyAlignment="1">
      <alignment horizontal="left" vertical="center" wrapText="1"/>
    </xf>
    <xf numFmtId="166" fontId="26" fillId="0" borderId="13" xfId="4" applyNumberFormat="1" applyFont="1" applyFill="1" applyBorder="1" applyAlignment="1">
      <alignment horizontal="center" vertical="center" wrapText="1"/>
    </xf>
    <xf numFmtId="0" fontId="87" fillId="0" borderId="13" xfId="3" applyFont="1" applyBorder="1"/>
    <xf numFmtId="0" fontId="87" fillId="0" borderId="16" xfId="3" applyFont="1" applyBorder="1"/>
    <xf numFmtId="164" fontId="57" fillId="0" borderId="14" xfId="3" applyNumberFormat="1" applyFont="1" applyFill="1" applyBorder="1" applyAlignment="1">
      <alignment vertical="center" wrapText="1"/>
    </xf>
    <xf numFmtId="166" fontId="14" fillId="2" borderId="14" xfId="3" applyNumberFormat="1" applyFont="1" applyFill="1" applyBorder="1" applyAlignment="1">
      <alignment horizontal="center" vertical="center" wrapText="1"/>
    </xf>
    <xf numFmtId="166" fontId="14" fillId="0" borderId="4" xfId="3" applyNumberFormat="1" applyFont="1" applyFill="1" applyBorder="1" applyAlignment="1">
      <alignment horizontal="center" vertical="center" wrapText="1"/>
    </xf>
    <xf numFmtId="164" fontId="96" fillId="0" borderId="13" xfId="3" applyNumberFormat="1" applyFont="1" applyFill="1" applyBorder="1" applyAlignment="1">
      <alignment horizontal="left" vertical="center" wrapText="1"/>
    </xf>
    <xf numFmtId="168" fontId="14" fillId="0" borderId="13" xfId="3" applyNumberFormat="1" applyFont="1" applyFill="1" applyBorder="1" applyAlignment="1">
      <alignment horizontal="center" vertical="center" wrapText="1"/>
    </xf>
    <xf numFmtId="168" fontId="14" fillId="0" borderId="14" xfId="3" applyNumberFormat="1" applyFont="1" applyFill="1" applyBorder="1" applyAlignment="1">
      <alignment horizontal="center" vertical="center" wrapText="1"/>
    </xf>
    <xf numFmtId="166" fontId="14" fillId="0" borderId="38" xfId="3" applyNumberFormat="1" applyFont="1" applyFill="1" applyBorder="1" applyAlignment="1">
      <alignment horizontal="center" vertical="center" wrapText="1"/>
    </xf>
    <xf numFmtId="166" fontId="15" fillId="0" borderId="38" xfId="2" applyNumberFormat="1" applyFont="1" applyFill="1" applyBorder="1" applyAlignment="1">
      <alignment horizontal="center" vertical="center" wrapText="1"/>
    </xf>
    <xf numFmtId="9" fontId="14" fillId="3" borderId="38" xfId="2" applyNumberFormat="1" applyFont="1" applyFill="1" applyBorder="1" applyAlignment="1">
      <alignment horizontal="center" vertical="center" wrapText="1"/>
    </xf>
    <xf numFmtId="166" fontId="14" fillId="0" borderId="20" xfId="3" applyNumberFormat="1" applyFont="1" applyFill="1" applyBorder="1" applyAlignment="1">
      <alignment horizontal="center" vertical="center" wrapText="1"/>
    </xf>
    <xf numFmtId="164" fontId="96" fillId="0" borderId="38" xfId="3" applyNumberFormat="1" applyFont="1" applyFill="1" applyBorder="1" applyAlignment="1">
      <alignment horizontal="left" vertical="center" wrapText="1"/>
    </xf>
    <xf numFmtId="164" fontId="65" fillId="2" borderId="19" xfId="3" applyNumberFormat="1" applyFont="1" applyFill="1" applyBorder="1" applyAlignment="1">
      <alignment horizontal="center" vertical="center" wrapText="1"/>
    </xf>
    <xf numFmtId="166" fontId="58" fillId="0" borderId="14" xfId="2" applyNumberFormat="1" applyFont="1" applyFill="1" applyBorder="1" applyAlignment="1">
      <alignment horizontal="center" vertical="center" wrapText="1"/>
    </xf>
    <xf numFmtId="9" fontId="15" fillId="0" borderId="19" xfId="2" applyNumberFormat="1" applyFont="1" applyFill="1" applyBorder="1" applyAlignment="1">
      <alignment horizontal="center" vertical="center" wrapText="1"/>
    </xf>
    <xf numFmtId="166" fontId="40" fillId="2" borderId="19" xfId="3" applyNumberFormat="1" applyFont="1" applyFill="1" applyBorder="1" applyAlignment="1">
      <alignment horizontal="center" vertical="center" wrapText="1"/>
    </xf>
    <xf numFmtId="9" fontId="26" fillId="0" borderId="19" xfId="2" applyNumberFormat="1" applyFont="1" applyFill="1" applyBorder="1" applyAlignment="1">
      <alignment horizontal="center" vertical="center" wrapText="1"/>
    </xf>
    <xf numFmtId="164" fontId="17" fillId="0" borderId="14" xfId="3" applyNumberFormat="1" applyFont="1" applyFill="1" applyBorder="1" applyAlignment="1">
      <alignment horizontal="center" vertical="center" wrapText="1"/>
    </xf>
    <xf numFmtId="166" fontId="26" fillId="0" borderId="38" xfId="2" applyNumberFormat="1" applyFont="1" applyFill="1" applyBorder="1" applyAlignment="1">
      <alignment horizontal="center" vertical="center" wrapText="1"/>
    </xf>
    <xf numFmtId="164" fontId="17" fillId="0" borderId="28" xfId="3" applyNumberFormat="1" applyFont="1" applyFill="1" applyBorder="1" applyAlignment="1">
      <alignment horizontal="center" vertical="center" wrapText="1"/>
    </xf>
    <xf numFmtId="164" fontId="53" fillId="2" borderId="14" xfId="3" applyNumberFormat="1" applyFont="1" applyFill="1" applyBorder="1" applyAlignment="1">
      <alignment horizontal="center" vertical="center" wrapText="1"/>
    </xf>
    <xf numFmtId="166" fontId="14" fillId="2" borderId="4" xfId="3" applyNumberFormat="1" applyFont="1" applyFill="1" applyBorder="1" applyAlignment="1">
      <alignment horizontal="center" vertical="center" wrapText="1"/>
    </xf>
    <xf numFmtId="164" fontId="92" fillId="0" borderId="14" xfId="3" applyNumberFormat="1" applyFont="1" applyFill="1" applyBorder="1" applyAlignment="1">
      <alignment horizontal="left" vertical="center" wrapText="1"/>
    </xf>
    <xf numFmtId="9" fontId="14" fillId="3" borderId="5" xfId="2" applyNumberFormat="1" applyFont="1" applyFill="1" applyBorder="1" applyAlignment="1">
      <alignment horizontal="center" vertical="center" wrapText="1"/>
    </xf>
    <xf numFmtId="49" fontId="17" fillId="0" borderId="28" xfId="3" applyNumberFormat="1" applyFont="1" applyFill="1" applyBorder="1" applyAlignment="1">
      <alignment horizontal="center" vertical="center" wrapText="1"/>
    </xf>
    <xf numFmtId="4" fontId="14" fillId="0" borderId="14" xfId="3" applyNumberFormat="1" applyFont="1" applyFill="1" applyBorder="1" applyAlignment="1">
      <alignment horizontal="center" vertical="center" wrapText="1"/>
    </xf>
    <xf numFmtId="4" fontId="14" fillId="0" borderId="13" xfId="3" applyNumberFormat="1" applyFont="1" applyFill="1" applyBorder="1" applyAlignment="1">
      <alignment horizontal="center" vertical="center" wrapText="1"/>
    </xf>
    <xf numFmtId="164" fontId="57" fillId="0" borderId="19" xfId="3" applyNumberFormat="1" applyFont="1" applyFill="1" applyBorder="1" applyAlignment="1">
      <alignment vertical="center" wrapText="1"/>
    </xf>
    <xf numFmtId="166" fontId="14" fillId="0" borderId="38" xfId="2" applyNumberFormat="1" applyFont="1" applyFill="1" applyBorder="1" applyAlignment="1">
      <alignment horizontal="center" vertical="center" wrapText="1"/>
    </xf>
    <xf numFmtId="164" fontId="30" fillId="0" borderId="25" xfId="3" applyNumberFormat="1" applyFont="1" applyFill="1" applyBorder="1" applyAlignment="1">
      <alignment horizontal="center" vertical="center" wrapText="1"/>
    </xf>
    <xf numFmtId="9" fontId="30" fillId="0" borderId="13" xfId="2" applyFont="1" applyFill="1" applyBorder="1" applyAlignment="1">
      <alignment horizontal="center" vertical="center" wrapText="1"/>
    </xf>
    <xf numFmtId="166" fontId="30" fillId="0" borderId="13" xfId="4" applyNumberFormat="1" applyFont="1" applyFill="1" applyBorder="1" applyAlignment="1">
      <alignment horizontal="center" vertical="center" wrapText="1"/>
    </xf>
    <xf numFmtId="0" fontId="97" fillId="0" borderId="13" xfId="3" applyFont="1" applyBorder="1"/>
    <xf numFmtId="0" fontId="97" fillId="0" borderId="16" xfId="3" applyFont="1" applyBorder="1"/>
    <xf numFmtId="0" fontId="98" fillId="0" borderId="0" xfId="3" applyFont="1"/>
    <xf numFmtId="166" fontId="34" fillId="0" borderId="14" xfId="2" applyNumberFormat="1" applyFont="1" applyFill="1" applyBorder="1" applyAlignment="1">
      <alignment horizontal="center" vertical="center" wrapText="1"/>
    </xf>
    <xf numFmtId="165" fontId="34" fillId="3" borderId="14" xfId="2" applyNumberFormat="1" applyFont="1" applyFill="1" applyBorder="1" applyAlignment="1">
      <alignment horizontal="center" vertical="center" wrapText="1"/>
    </xf>
    <xf numFmtId="166" fontId="34" fillId="2" borderId="14" xfId="3" applyNumberFormat="1" applyFont="1" applyFill="1" applyBorder="1" applyAlignment="1">
      <alignment horizontal="center" vertical="center" wrapText="1"/>
    </xf>
    <xf numFmtId="164" fontId="14" fillId="3" borderId="12" xfId="3" applyNumberFormat="1" applyFont="1" applyFill="1" applyBorder="1" applyAlignment="1">
      <alignment horizontal="center" vertical="center" wrapText="1"/>
    </xf>
    <xf numFmtId="164" fontId="14" fillId="3" borderId="13" xfId="3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49" fontId="27" fillId="0" borderId="40" xfId="3" applyNumberFormat="1" applyFont="1" applyFill="1" applyBorder="1" applyAlignment="1">
      <alignment horizontal="center" vertical="center"/>
    </xf>
    <xf numFmtId="167" fontId="81" fillId="0" borderId="20" xfId="3" applyNumberFormat="1" applyFont="1" applyFill="1" applyBorder="1" applyAlignment="1">
      <alignment vertical="center" wrapText="1"/>
    </xf>
    <xf numFmtId="49" fontId="81" fillId="0" borderId="20" xfId="3" applyNumberFormat="1" applyFont="1" applyFill="1" applyBorder="1" applyAlignment="1">
      <alignment horizontal="center" vertical="center" wrapText="1"/>
    </xf>
    <xf numFmtId="166" fontId="27" fillId="0" borderId="20" xfId="2" applyNumberFormat="1" applyFont="1" applyFill="1" applyBorder="1" applyAlignment="1">
      <alignment horizontal="center" vertical="center" wrapText="1"/>
    </xf>
    <xf numFmtId="165" fontId="27" fillId="0" borderId="20" xfId="2" applyNumberFormat="1" applyFont="1" applyFill="1" applyBorder="1" applyAlignment="1">
      <alignment horizontal="center" vertical="center" wrapText="1"/>
    </xf>
    <xf numFmtId="9" fontId="27" fillId="0" borderId="20" xfId="2" applyNumberFormat="1" applyFont="1" applyFill="1" applyBorder="1" applyAlignment="1">
      <alignment horizontal="center" vertical="center" wrapText="1"/>
    </xf>
    <xf numFmtId="166" fontId="27" fillId="0" borderId="14" xfId="4" applyNumberFormat="1" applyFont="1" applyFill="1" applyBorder="1" applyAlignment="1">
      <alignment horizontal="center" vertical="center" wrapText="1"/>
    </xf>
    <xf numFmtId="0" fontId="28" fillId="0" borderId="14" xfId="3" applyFont="1" applyBorder="1"/>
    <xf numFmtId="0" fontId="28" fillId="0" borderId="17" xfId="3" applyFont="1" applyBorder="1"/>
    <xf numFmtId="0" fontId="25" fillId="0" borderId="0" xfId="3" applyFont="1"/>
    <xf numFmtId="49" fontId="15" fillId="0" borderId="28" xfId="3" applyNumberFormat="1" applyFont="1" applyFill="1" applyBorder="1" applyAlignment="1">
      <alignment horizontal="center" vertical="center"/>
    </xf>
    <xf numFmtId="167" fontId="14" fillId="0" borderId="14" xfId="3" applyNumberFormat="1" applyFont="1" applyFill="1" applyBorder="1" applyAlignment="1">
      <alignment vertical="center" wrapText="1"/>
    </xf>
    <xf numFmtId="49" fontId="14" fillId="0" borderId="14" xfId="3" applyNumberFormat="1" applyFont="1" applyFill="1" applyBorder="1" applyAlignment="1">
      <alignment horizontal="center" vertical="center" wrapText="1"/>
    </xf>
    <xf numFmtId="0" fontId="43" fillId="0" borderId="13" xfId="3" applyFont="1" applyFill="1" applyBorder="1"/>
    <xf numFmtId="0" fontId="43" fillId="0" borderId="16" xfId="3" applyFont="1" applyFill="1" applyBorder="1"/>
    <xf numFmtId="0" fontId="4" fillId="0" borderId="0" xfId="3" applyFont="1" applyFill="1"/>
    <xf numFmtId="49" fontId="58" fillId="0" borderId="12" xfId="3" applyNumberFormat="1" applyFont="1" applyFill="1" applyBorder="1" applyAlignment="1">
      <alignment horizontal="center" vertical="center"/>
    </xf>
    <xf numFmtId="49" fontId="17" fillId="0" borderId="13" xfId="3" applyNumberFormat="1" applyFont="1" applyFill="1" applyBorder="1" applyAlignment="1">
      <alignment horizontal="center" vertical="center" wrapText="1"/>
    </xf>
    <xf numFmtId="165" fontId="58" fillId="0" borderId="13" xfId="2" applyNumberFormat="1" applyFont="1" applyFill="1" applyBorder="1" applyAlignment="1">
      <alignment horizontal="center" vertical="center" wrapText="1"/>
    </xf>
    <xf numFmtId="167" fontId="17" fillId="0" borderId="13" xfId="3" applyNumberFormat="1" applyFont="1" applyFill="1" applyBorder="1" applyAlignment="1">
      <alignment vertical="center" wrapText="1"/>
    </xf>
    <xf numFmtId="167" fontId="17" fillId="0" borderId="13" xfId="3" applyNumberFormat="1" applyFont="1" applyFill="1" applyBorder="1" applyAlignment="1">
      <alignment horizontal="left" vertical="center" wrapText="1"/>
    </xf>
    <xf numFmtId="49" fontId="15" fillId="0" borderId="12" xfId="3" applyNumberFormat="1" applyFont="1" applyFill="1" applyBorder="1" applyAlignment="1">
      <alignment horizontal="center" vertical="center"/>
    </xf>
    <xf numFmtId="167" fontId="14" fillId="0" borderId="13" xfId="3" applyNumberFormat="1" applyFont="1" applyFill="1" applyBorder="1" applyAlignment="1">
      <alignment vertical="center" wrapText="1"/>
    </xf>
    <xf numFmtId="49" fontId="14" fillId="0" borderId="13" xfId="3" applyNumberFormat="1" applyFont="1" applyFill="1" applyBorder="1" applyAlignment="1">
      <alignment horizontal="center" vertical="center" wrapText="1"/>
    </xf>
    <xf numFmtId="167" fontId="55" fillId="0" borderId="13" xfId="3" applyNumberFormat="1" applyFont="1" applyFill="1" applyBorder="1" applyAlignment="1">
      <alignment vertical="center" wrapText="1"/>
    </xf>
    <xf numFmtId="166" fontId="17" fillId="3" borderId="13" xfId="3" applyNumberFormat="1" applyFont="1" applyFill="1" applyBorder="1" applyAlignment="1">
      <alignment horizontal="center" vertical="center" wrapText="1"/>
    </xf>
    <xf numFmtId="167" fontId="59" fillId="0" borderId="13" xfId="3" applyNumberFormat="1" applyFont="1" applyFill="1" applyBorder="1" applyAlignment="1">
      <alignment vertical="center" wrapText="1"/>
    </xf>
    <xf numFmtId="49" fontId="17" fillId="0" borderId="12" xfId="3" applyNumberFormat="1" applyFont="1" applyFill="1" applyBorder="1" applyAlignment="1">
      <alignment horizontal="center" vertical="center"/>
    </xf>
    <xf numFmtId="0" fontId="99" fillId="0" borderId="13" xfId="3" applyFont="1" applyFill="1" applyBorder="1"/>
    <xf numFmtId="0" fontId="99" fillId="0" borderId="16" xfId="3" applyFont="1" applyFill="1" applyBorder="1"/>
    <xf numFmtId="0" fontId="100" fillId="0" borderId="0" xfId="3" applyFont="1" applyFill="1"/>
    <xf numFmtId="167" fontId="60" fillId="0" borderId="13" xfId="3" applyNumberFormat="1" applyFont="1" applyFill="1" applyBorder="1" applyAlignment="1">
      <alignment vertical="center" wrapText="1"/>
    </xf>
    <xf numFmtId="0" fontId="18" fillId="0" borderId="0" xfId="3" applyFont="1" applyFill="1" applyBorder="1"/>
    <xf numFmtId="166" fontId="17" fillId="0" borderId="15" xfId="2" applyNumberFormat="1" applyFont="1" applyFill="1" applyBorder="1" applyAlignment="1">
      <alignment horizontal="center" vertical="center" wrapText="1"/>
    </xf>
    <xf numFmtId="9" fontId="58" fillId="0" borderId="15" xfId="2" applyNumberFormat="1" applyFont="1" applyFill="1" applyBorder="1" applyAlignment="1">
      <alignment horizontal="center" vertical="center" wrapText="1"/>
    </xf>
    <xf numFmtId="165" fontId="15" fillId="0" borderId="15" xfId="2" applyNumberFormat="1" applyFont="1" applyFill="1" applyBorder="1" applyAlignment="1">
      <alignment horizontal="center" vertical="center" wrapText="1"/>
    </xf>
    <xf numFmtId="164" fontId="17" fillId="0" borderId="20" xfId="3" applyNumberFormat="1" applyFont="1" applyFill="1" applyBorder="1" applyAlignment="1">
      <alignment horizontal="left" vertical="center" wrapText="1"/>
    </xf>
    <xf numFmtId="49" fontId="31" fillId="0" borderId="25" xfId="3" applyNumberFormat="1" applyFont="1" applyFill="1" applyBorder="1" applyAlignment="1">
      <alignment horizontal="center" vertical="center" wrapText="1"/>
    </xf>
    <xf numFmtId="166" fontId="101" fillId="0" borderId="25" xfId="2" applyNumberFormat="1" applyFont="1" applyFill="1" applyBorder="1" applyAlignment="1">
      <alignment horizontal="center" vertical="center" wrapText="1"/>
    </xf>
    <xf numFmtId="9" fontId="31" fillId="0" borderId="25" xfId="2" applyNumberFormat="1" applyFont="1" applyFill="1" applyBorder="1" applyAlignment="1">
      <alignment horizontal="center" vertical="center" wrapText="1"/>
    </xf>
    <xf numFmtId="166" fontId="31" fillId="0" borderId="13" xfId="4" applyNumberFormat="1" applyFont="1" applyFill="1" applyBorder="1" applyAlignment="1">
      <alignment horizontal="center" vertical="center" wrapText="1"/>
    </xf>
    <xf numFmtId="0" fontId="32" fillId="0" borderId="13" xfId="3" applyFont="1" applyFill="1" applyBorder="1"/>
    <xf numFmtId="0" fontId="32" fillId="0" borderId="16" xfId="3" applyFont="1" applyFill="1" applyBorder="1"/>
    <xf numFmtId="49" fontId="27" fillId="0" borderId="25" xfId="3" applyNumberFormat="1" applyFont="1" applyFill="1" applyBorder="1" applyAlignment="1">
      <alignment horizontal="center" vertical="center" wrapText="1"/>
    </xf>
    <xf numFmtId="166" fontId="27" fillId="0" borderId="13" xfId="4" applyNumberFormat="1" applyFont="1" applyFill="1" applyBorder="1" applyAlignment="1">
      <alignment horizontal="center" vertical="center" wrapText="1"/>
    </xf>
    <xf numFmtId="166" fontId="26" fillId="2" borderId="13" xfId="3" applyNumberFormat="1" applyFont="1" applyFill="1" applyBorder="1" applyAlignment="1">
      <alignment horizontal="center" vertical="center" wrapText="1"/>
    </xf>
    <xf numFmtId="164" fontId="28" fillId="0" borderId="13" xfId="3" applyNumberFormat="1" applyFont="1" applyBorder="1"/>
    <xf numFmtId="164" fontId="28" fillId="0" borderId="16" xfId="3" applyNumberFormat="1" applyFont="1" applyBorder="1"/>
    <xf numFmtId="0" fontId="28" fillId="0" borderId="0" xfId="3" applyFont="1"/>
    <xf numFmtId="49" fontId="34" fillId="0" borderId="14" xfId="3" applyNumberFormat="1" applyFont="1" applyFill="1" applyBorder="1" applyAlignment="1">
      <alignment horizontal="center" vertical="center" wrapText="1"/>
    </xf>
    <xf numFmtId="49" fontId="15" fillId="0" borderId="13" xfId="3" applyNumberFormat="1" applyFont="1" applyFill="1" applyBorder="1" applyAlignment="1">
      <alignment horizontal="center" vertical="center" wrapText="1"/>
    </xf>
    <xf numFmtId="49" fontId="31" fillId="0" borderId="13" xfId="3" applyNumberFormat="1" applyFont="1" applyFill="1" applyBorder="1" applyAlignment="1">
      <alignment horizontal="center" vertical="center" wrapText="1"/>
    </xf>
    <xf numFmtId="166" fontId="30" fillId="0" borderId="13" xfId="2" applyNumberFormat="1" applyFont="1" applyFill="1" applyBorder="1" applyAlignment="1">
      <alignment horizontal="center" vertical="center" wrapText="1"/>
    </xf>
    <xf numFmtId="166" fontId="31" fillId="0" borderId="13" xfId="2" applyNumberFormat="1" applyFont="1" applyFill="1" applyBorder="1" applyAlignment="1">
      <alignment horizontal="center" vertical="center" wrapText="1"/>
    </xf>
    <xf numFmtId="165" fontId="31" fillId="0" borderId="13" xfId="2" applyNumberFormat="1" applyFont="1" applyFill="1" applyBorder="1" applyAlignment="1">
      <alignment horizontal="center" vertical="center" wrapText="1"/>
    </xf>
    <xf numFmtId="9" fontId="31" fillId="0" borderId="13" xfId="2" applyNumberFormat="1" applyFont="1" applyFill="1" applyBorder="1" applyAlignment="1">
      <alignment horizontal="center" vertical="center" wrapText="1"/>
    </xf>
    <xf numFmtId="0" fontId="32" fillId="0" borderId="13" xfId="3" applyFont="1" applyBorder="1"/>
    <xf numFmtId="0" fontId="32" fillId="0" borderId="16" xfId="3" applyFont="1" applyBorder="1"/>
    <xf numFmtId="0" fontId="29" fillId="0" borderId="0" xfId="3" applyFont="1"/>
    <xf numFmtId="49" fontId="14" fillId="0" borderId="13" xfId="3" applyNumberFormat="1" applyFont="1" applyFill="1" applyBorder="1" applyAlignment="1"/>
    <xf numFmtId="164" fontId="14" fillId="0" borderId="13" xfId="3" applyNumberFormat="1" applyFont="1" applyFill="1" applyBorder="1" applyAlignment="1"/>
    <xf numFmtId="169" fontId="14" fillId="0" borderId="13" xfId="3" applyNumberFormat="1" applyFont="1" applyFill="1" applyBorder="1" applyAlignment="1"/>
    <xf numFmtId="169" fontId="58" fillId="0" borderId="13" xfId="4" applyNumberFormat="1" applyFont="1" applyFill="1" applyBorder="1" applyAlignment="1">
      <alignment horizontal="center" vertical="center" wrapText="1"/>
    </xf>
    <xf numFmtId="169" fontId="15" fillId="0" borderId="13" xfId="2" applyNumberFormat="1" applyFont="1" applyFill="1" applyBorder="1" applyAlignment="1">
      <alignment horizontal="center" vertical="center" wrapText="1"/>
    </xf>
    <xf numFmtId="169" fontId="58" fillId="0" borderId="13" xfId="2" applyNumberFormat="1" applyFont="1" applyFill="1" applyBorder="1" applyAlignment="1">
      <alignment horizontal="center" vertical="center" wrapText="1"/>
    </xf>
    <xf numFmtId="9" fontId="58" fillId="3" borderId="13" xfId="2" applyFont="1" applyFill="1" applyBorder="1" applyAlignment="1">
      <alignment horizontal="center" vertical="center" wrapText="1"/>
    </xf>
    <xf numFmtId="9" fontId="58" fillId="3" borderId="14" xfId="2" applyFont="1" applyFill="1" applyBorder="1" applyAlignment="1">
      <alignment horizontal="center" vertical="center" wrapText="1"/>
    </xf>
    <xf numFmtId="165" fontId="58" fillId="3" borderId="13" xfId="4" applyNumberFormat="1" applyFont="1" applyFill="1" applyBorder="1" applyAlignment="1">
      <alignment horizontal="center" vertical="center" wrapText="1"/>
    </xf>
    <xf numFmtId="49" fontId="81" fillId="0" borderId="40" xfId="3" applyNumberFormat="1" applyFont="1" applyFill="1" applyBorder="1" applyAlignment="1">
      <alignment horizontal="center" vertical="center"/>
    </xf>
    <xf numFmtId="164" fontId="26" fillId="0" borderId="20" xfId="3" applyNumberFormat="1" applyFont="1" applyFill="1" applyBorder="1" applyAlignment="1">
      <alignment horizontal="center" vertical="center"/>
    </xf>
    <xf numFmtId="166" fontId="26" fillId="0" borderId="20" xfId="4" applyNumberFormat="1" applyFont="1" applyFill="1" applyBorder="1" applyAlignment="1">
      <alignment horizontal="center" vertical="center" wrapText="1"/>
    </xf>
    <xf numFmtId="166" fontId="26" fillId="3" borderId="39" xfId="3" applyNumberFormat="1" applyFont="1" applyFill="1" applyBorder="1" applyAlignment="1">
      <alignment horizontal="center" vertical="center" wrapText="1"/>
    </xf>
    <xf numFmtId="166" fontId="26" fillId="3" borderId="20" xfId="3" applyNumberFormat="1" applyFont="1" applyFill="1" applyBorder="1" applyAlignment="1">
      <alignment horizontal="center" vertical="center" wrapText="1"/>
    </xf>
    <xf numFmtId="9" fontId="26" fillId="3" borderId="20" xfId="3" applyNumberFormat="1" applyFont="1" applyFill="1" applyBorder="1" applyAlignment="1">
      <alignment horizontal="center" vertical="center" wrapText="1"/>
    </xf>
    <xf numFmtId="164" fontId="28" fillId="0" borderId="14" xfId="3" applyNumberFormat="1" applyFont="1" applyBorder="1"/>
    <xf numFmtId="164" fontId="28" fillId="0" borderId="17" xfId="3" applyNumberFormat="1" applyFont="1" applyBorder="1"/>
    <xf numFmtId="49" fontId="55" fillId="0" borderId="28" xfId="3" applyNumberFormat="1" applyFont="1" applyFill="1" applyBorder="1" applyAlignment="1">
      <alignment horizontal="center" vertical="center" wrapText="1"/>
    </xf>
    <xf numFmtId="167" fontId="59" fillId="0" borderId="14" xfId="3" applyNumberFormat="1" applyFont="1" applyFill="1" applyBorder="1" applyAlignment="1">
      <alignment vertical="center" wrapText="1"/>
    </xf>
    <xf numFmtId="49" fontId="56" fillId="0" borderId="14" xfId="3" applyNumberFormat="1" applyFont="1" applyFill="1" applyBorder="1" applyAlignment="1">
      <alignment horizontal="center" vertical="center" wrapText="1"/>
    </xf>
    <xf numFmtId="164" fontId="55" fillId="0" borderId="14" xfId="3" applyNumberFormat="1" applyFont="1" applyFill="1" applyBorder="1" applyAlignment="1">
      <alignment horizontal="center" vertical="center" wrapText="1"/>
    </xf>
    <xf numFmtId="165" fontId="55" fillId="3" borderId="14" xfId="2" applyNumberFormat="1" applyFont="1" applyFill="1" applyBorder="1" applyAlignment="1">
      <alignment horizontal="center" vertical="center" wrapText="1"/>
    </xf>
    <xf numFmtId="9" fontId="17" fillId="3" borderId="14" xfId="3" applyNumberFormat="1" applyFont="1" applyFill="1" applyBorder="1" applyAlignment="1">
      <alignment horizontal="center" vertical="center" wrapText="1"/>
    </xf>
    <xf numFmtId="164" fontId="17" fillId="0" borderId="14" xfId="3" applyNumberFormat="1" applyFont="1" applyFill="1" applyBorder="1" applyAlignment="1">
      <alignment horizontal="left" vertical="center" wrapText="1"/>
    </xf>
    <xf numFmtId="164" fontId="18" fillId="0" borderId="13" xfId="3" applyNumberFormat="1" applyFont="1" applyBorder="1"/>
    <xf numFmtId="164" fontId="18" fillId="0" borderId="16" xfId="3" applyNumberFormat="1" applyFont="1" applyBorder="1"/>
    <xf numFmtId="49" fontId="42" fillId="0" borderId="12" xfId="3" applyNumberFormat="1" applyFont="1" applyFill="1" applyBorder="1" applyAlignment="1">
      <alignment horizontal="center" vertical="center"/>
    </xf>
    <xf numFmtId="167" fontId="42" fillId="0" borderId="13" xfId="3" applyNumberFormat="1" applyFont="1" applyFill="1" applyBorder="1" applyAlignment="1">
      <alignment vertical="center" wrapText="1"/>
    </xf>
    <xf numFmtId="49" fontId="42" fillId="0" borderId="13" xfId="3" applyNumberFormat="1" applyFont="1" applyFill="1" applyBorder="1" applyAlignment="1">
      <alignment horizontal="center" vertical="center" wrapText="1"/>
    </xf>
    <xf numFmtId="164" fontId="42" fillId="0" borderId="13" xfId="3" applyNumberFormat="1" applyFont="1" applyFill="1" applyBorder="1" applyAlignment="1">
      <alignment horizontal="center" vertical="center" wrapText="1"/>
    </xf>
    <xf numFmtId="166" fontId="42" fillId="0" borderId="13" xfId="3" applyNumberFormat="1" applyFont="1" applyFill="1" applyBorder="1" applyAlignment="1">
      <alignment horizontal="center" vertical="center" wrapText="1"/>
    </xf>
    <xf numFmtId="166" fontId="42" fillId="0" borderId="13" xfId="2" applyNumberFormat="1" applyFont="1" applyFill="1" applyBorder="1" applyAlignment="1">
      <alignment horizontal="center" vertical="center" wrapText="1"/>
    </xf>
    <xf numFmtId="166" fontId="42" fillId="0" borderId="13" xfId="4" applyNumberFormat="1" applyFont="1" applyFill="1" applyBorder="1" applyAlignment="1">
      <alignment horizontal="center" vertical="center" wrapText="1"/>
    </xf>
    <xf numFmtId="165" fontId="42" fillId="0" borderId="14" xfId="2" applyNumberFormat="1" applyFont="1" applyFill="1" applyBorder="1" applyAlignment="1">
      <alignment horizontal="center" vertical="center" wrapText="1"/>
    </xf>
    <xf numFmtId="165" fontId="42" fillId="3" borderId="14" xfId="2" applyNumberFormat="1" applyFont="1" applyFill="1" applyBorder="1" applyAlignment="1">
      <alignment horizontal="center" vertical="center" wrapText="1"/>
    </xf>
    <xf numFmtId="166" fontId="30" fillId="3" borderId="13" xfId="3" applyNumberFormat="1" applyFont="1" applyFill="1" applyBorder="1" applyAlignment="1">
      <alignment horizontal="center" vertical="center" wrapText="1"/>
    </xf>
    <xf numFmtId="9" fontId="30" fillId="0" borderId="13" xfId="2" applyNumberFormat="1" applyFont="1" applyFill="1" applyBorder="1" applyAlignment="1">
      <alignment horizontal="center" vertical="center" wrapText="1"/>
    </xf>
    <xf numFmtId="9" fontId="30" fillId="0" borderId="14" xfId="2" applyNumberFormat="1" applyFont="1" applyFill="1" applyBorder="1" applyAlignment="1">
      <alignment horizontal="center" vertical="center" wrapText="1"/>
    </xf>
    <xf numFmtId="9" fontId="30" fillId="3" borderId="13" xfId="3" applyNumberFormat="1" applyFont="1" applyFill="1" applyBorder="1" applyAlignment="1">
      <alignment horizontal="center" vertical="center" wrapText="1"/>
    </xf>
    <xf numFmtId="165" fontId="30" fillId="0" borderId="14" xfId="2" applyNumberFormat="1" applyFont="1" applyFill="1" applyBorder="1" applyAlignment="1">
      <alignment horizontal="center" vertical="center" wrapText="1"/>
    </xf>
    <xf numFmtId="164" fontId="30" fillId="0" borderId="13" xfId="3" applyNumberFormat="1" applyFont="1" applyFill="1" applyBorder="1" applyAlignment="1">
      <alignment horizontal="left" vertical="center" wrapText="1"/>
    </xf>
    <xf numFmtId="164" fontId="97" fillId="0" borderId="13" xfId="3" applyNumberFormat="1" applyFont="1" applyBorder="1"/>
    <xf numFmtId="164" fontId="97" fillId="0" borderId="16" xfId="3" applyNumberFormat="1" applyFont="1" applyBorder="1"/>
    <xf numFmtId="49" fontId="56" fillId="3" borderId="13" xfId="3" applyNumberFormat="1" applyFont="1" applyFill="1" applyBorder="1" applyAlignment="1">
      <alignment horizontal="center" vertical="center" wrapText="1"/>
    </xf>
    <xf numFmtId="9" fontId="56" fillId="0" borderId="13" xfId="2" applyNumberFormat="1" applyFont="1" applyFill="1" applyBorder="1" applyAlignment="1">
      <alignment horizontal="center" vertical="center" wrapText="1"/>
    </xf>
    <xf numFmtId="9" fontId="56" fillId="0" borderId="14" xfId="2" applyNumberFormat="1" applyFont="1" applyFill="1" applyBorder="1" applyAlignment="1">
      <alignment horizontal="center" vertical="center" wrapText="1"/>
    </xf>
    <xf numFmtId="166" fontId="55" fillId="3" borderId="13" xfId="3" applyNumberFormat="1" applyFont="1" applyFill="1" applyBorder="1" applyAlignment="1">
      <alignment horizontal="center" vertical="center" wrapText="1"/>
    </xf>
    <xf numFmtId="9" fontId="55" fillId="0" borderId="13" xfId="3" applyNumberFormat="1" applyFont="1" applyFill="1" applyBorder="1" applyAlignment="1">
      <alignment horizontal="center" vertical="center" wrapText="1"/>
    </xf>
    <xf numFmtId="49" fontId="53" fillId="3" borderId="13" xfId="3" applyNumberFormat="1" applyFont="1" applyFill="1" applyBorder="1" applyAlignment="1">
      <alignment horizontal="center" vertical="center" wrapText="1"/>
    </xf>
    <xf numFmtId="166" fontId="54" fillId="0" borderId="13" xfId="4" applyNumberFormat="1" applyFont="1" applyFill="1" applyBorder="1" applyAlignment="1">
      <alignment horizontal="center" vertical="center" wrapText="1"/>
    </xf>
    <xf numFmtId="165" fontId="54" fillId="0" borderId="14" xfId="2" applyNumberFormat="1" applyFont="1" applyFill="1" applyBorder="1" applyAlignment="1">
      <alignment horizontal="center" vertical="center" wrapText="1"/>
    </xf>
    <xf numFmtId="9" fontId="54" fillId="0" borderId="13" xfId="2" applyNumberFormat="1" applyFont="1" applyFill="1" applyBorder="1" applyAlignment="1">
      <alignment horizontal="center" vertical="center" wrapText="1"/>
    </xf>
    <xf numFmtId="9" fontId="53" fillId="0" borderId="13" xfId="2" applyNumberFormat="1" applyFont="1" applyFill="1" applyBorder="1" applyAlignment="1">
      <alignment horizontal="center" vertical="center" wrapText="1"/>
    </xf>
    <xf numFmtId="49" fontId="53" fillId="0" borderId="12" xfId="3" applyNumberFormat="1" applyFont="1" applyFill="1" applyBorder="1" applyAlignment="1">
      <alignment horizontal="center" vertical="center" wrapText="1"/>
    </xf>
    <xf numFmtId="167" fontId="57" fillId="0" borderId="13" xfId="3" applyNumberFormat="1" applyFont="1" applyFill="1" applyBorder="1" applyAlignment="1">
      <alignment vertical="center" wrapText="1"/>
    </xf>
    <xf numFmtId="49" fontId="54" fillId="3" borderId="13" xfId="3" applyNumberFormat="1" applyFont="1" applyFill="1" applyBorder="1" applyAlignment="1">
      <alignment horizontal="center" vertical="center" wrapText="1"/>
    </xf>
    <xf numFmtId="0" fontId="3" fillId="0" borderId="0" xfId="3" applyFont="1" applyBorder="1"/>
    <xf numFmtId="49" fontId="55" fillId="0" borderId="12" xfId="3" applyNumberFormat="1" applyFont="1" applyFill="1" applyBorder="1" applyAlignment="1">
      <alignment horizontal="center" vertical="center" wrapText="1"/>
    </xf>
    <xf numFmtId="0" fontId="1" fillId="0" borderId="0" xfId="3" applyFont="1" applyBorder="1"/>
    <xf numFmtId="167" fontId="53" fillId="0" borderId="13" xfId="3" applyNumberFormat="1" applyFont="1" applyFill="1" applyBorder="1" applyAlignment="1">
      <alignment vertical="center" wrapText="1"/>
    </xf>
    <xf numFmtId="164" fontId="56" fillId="0" borderId="13" xfId="2" applyNumberFormat="1" applyFont="1" applyFill="1" applyBorder="1" applyAlignment="1">
      <alignment horizontal="center" vertical="center" wrapText="1"/>
    </xf>
    <xf numFmtId="166" fontId="14" fillId="0" borderId="16" xfId="3" applyNumberFormat="1" applyFont="1" applyFill="1" applyBorder="1" applyAlignment="1">
      <alignment horizontal="center" vertical="center" wrapText="1"/>
    </xf>
    <xf numFmtId="166" fontId="17" fillId="0" borderId="16" xfId="3" applyNumberFormat="1" applyFont="1" applyFill="1" applyBorder="1" applyAlignment="1">
      <alignment horizontal="center" vertical="center" wrapText="1"/>
    </xf>
    <xf numFmtId="166" fontId="56" fillId="3" borderId="13" xfId="4" applyNumberFormat="1" applyFont="1" applyFill="1" applyBorder="1" applyAlignment="1">
      <alignment horizontal="center" vertical="center" wrapText="1"/>
    </xf>
    <xf numFmtId="166" fontId="53" fillId="0" borderId="13" xfId="4" applyNumberFormat="1" applyFont="1" applyFill="1" applyBorder="1" applyAlignment="1">
      <alignment horizontal="center" vertical="center" wrapText="1"/>
    </xf>
    <xf numFmtId="164" fontId="53" fillId="0" borderId="13" xfId="2" applyNumberFormat="1" applyFont="1" applyFill="1" applyBorder="1" applyAlignment="1">
      <alignment horizontal="center" vertical="center" wrapText="1"/>
    </xf>
    <xf numFmtId="166" fontId="53" fillId="2" borderId="13" xfId="3" applyNumberFormat="1" applyFont="1" applyFill="1" applyBorder="1" applyAlignment="1">
      <alignment horizontal="center" vertical="center" wrapText="1"/>
    </xf>
    <xf numFmtId="0" fontId="84" fillId="0" borderId="0" xfId="3" applyFont="1" applyBorder="1"/>
    <xf numFmtId="167" fontId="53" fillId="0" borderId="13" xfId="3" applyNumberFormat="1" applyFont="1" applyFill="1" applyBorder="1" applyAlignment="1">
      <alignment horizontal="center" vertical="center" wrapText="1"/>
    </xf>
    <xf numFmtId="164" fontId="54" fillId="0" borderId="13" xfId="2" applyNumberFormat="1" applyFont="1" applyFill="1" applyBorder="1" applyAlignment="1">
      <alignment horizontal="center" vertical="center" wrapText="1"/>
    </xf>
    <xf numFmtId="167" fontId="53" fillId="0" borderId="13" xfId="3" applyNumberFormat="1" applyFont="1" applyFill="1" applyBorder="1" applyAlignment="1">
      <alignment horizontal="left" vertical="center" wrapText="1"/>
    </xf>
    <xf numFmtId="167" fontId="55" fillId="0" borderId="13" xfId="3" applyNumberFormat="1" applyFont="1" applyFill="1" applyBorder="1" applyAlignment="1">
      <alignment horizontal="center" vertical="center" wrapText="1"/>
    </xf>
    <xf numFmtId="167" fontId="14" fillId="0" borderId="13" xfId="3" applyNumberFormat="1" applyFont="1" applyFill="1" applyBorder="1" applyAlignment="1">
      <alignment horizontal="center"/>
    </xf>
    <xf numFmtId="165" fontId="15" fillId="0" borderId="13" xfId="4" applyNumberFormat="1" applyFont="1" applyFill="1" applyBorder="1" applyAlignment="1">
      <alignment horizontal="center" vertical="center" wrapText="1"/>
    </xf>
    <xf numFmtId="165" fontId="15" fillId="3" borderId="13" xfId="4" applyNumberFormat="1" applyFont="1" applyFill="1" applyBorder="1" applyAlignment="1">
      <alignment horizontal="center" vertical="center" wrapText="1"/>
    </xf>
    <xf numFmtId="0" fontId="52" fillId="0" borderId="13" xfId="3" applyFont="1" applyBorder="1" applyAlignment="1">
      <alignment vertical="center"/>
    </xf>
    <xf numFmtId="0" fontId="52" fillId="0" borderId="16" xfId="3" applyFont="1" applyBorder="1" applyAlignment="1">
      <alignment vertical="center"/>
    </xf>
    <xf numFmtId="0" fontId="1" fillId="0" borderId="0" xfId="3" applyAlignment="1">
      <alignment vertical="center"/>
    </xf>
    <xf numFmtId="164" fontId="14" fillId="2" borderId="12" xfId="3" applyNumberFormat="1" applyFont="1" applyFill="1" applyBorder="1" applyAlignment="1">
      <alignment horizontal="center" vertical="center" wrapText="1"/>
    </xf>
    <xf numFmtId="164" fontId="58" fillId="2" borderId="13" xfId="3" applyNumberFormat="1" applyFont="1" applyFill="1" applyBorder="1" applyAlignment="1">
      <alignment horizontal="center" vertical="center" wrapText="1"/>
    </xf>
    <xf numFmtId="164" fontId="17" fillId="2" borderId="13" xfId="3" quotePrefix="1" applyNumberFormat="1" applyFont="1" applyFill="1" applyBorder="1" applyAlignment="1">
      <alignment horizontal="center" vertical="center" wrapText="1"/>
    </xf>
    <xf numFmtId="164" fontId="58" fillId="0" borderId="13" xfId="4" applyNumberFormat="1" applyFont="1" applyFill="1" applyBorder="1" applyAlignment="1">
      <alignment horizontal="center" vertical="center" wrapText="1"/>
    </xf>
    <xf numFmtId="164" fontId="34" fillId="2" borderId="12" xfId="3" applyNumberFormat="1" applyFont="1" applyFill="1" applyBorder="1" applyAlignment="1">
      <alignment horizontal="center" vertical="center" wrapText="1"/>
    </xf>
    <xf numFmtId="164" fontId="34" fillId="3" borderId="13" xfId="3" applyNumberFormat="1" applyFont="1" applyFill="1" applyBorder="1" applyAlignment="1">
      <alignment horizontal="center" vertical="center" wrapText="1"/>
    </xf>
    <xf numFmtId="164" fontId="34" fillId="2" borderId="13" xfId="3" quotePrefix="1" applyNumberFormat="1" applyFont="1" applyFill="1" applyBorder="1" applyAlignment="1">
      <alignment horizontal="center" vertical="center" wrapText="1"/>
    </xf>
    <xf numFmtId="164" fontId="34" fillId="0" borderId="13" xfId="3" quotePrefix="1" applyNumberFormat="1" applyFont="1" applyFill="1" applyBorder="1" applyAlignment="1">
      <alignment horizontal="center" vertical="center" wrapText="1"/>
    </xf>
    <xf numFmtId="164" fontId="34" fillId="0" borderId="13" xfId="4" applyNumberFormat="1" applyFont="1" applyFill="1" applyBorder="1" applyAlignment="1">
      <alignment horizontal="center" vertical="center" wrapText="1"/>
    </xf>
    <xf numFmtId="165" fontId="34" fillId="0" borderId="13" xfId="2" applyNumberFormat="1" applyFont="1" applyFill="1" applyBorder="1" applyAlignment="1">
      <alignment horizontal="center" vertical="center" wrapText="1"/>
    </xf>
    <xf numFmtId="165" fontId="34" fillId="3" borderId="13" xfId="4" applyNumberFormat="1" applyFont="1" applyFill="1" applyBorder="1" applyAlignment="1">
      <alignment horizontal="center" vertical="center" wrapText="1"/>
    </xf>
    <xf numFmtId="164" fontId="14" fillId="2" borderId="13" xfId="3" applyNumberFormat="1" applyFont="1" applyFill="1" applyBorder="1" applyAlignment="1">
      <alignment horizontal="center" vertical="center" wrapText="1"/>
    </xf>
    <xf numFmtId="164" fontId="15" fillId="2" borderId="13" xfId="3" applyNumberFormat="1" applyFont="1" applyFill="1" applyBorder="1" applyAlignment="1">
      <alignment horizontal="center" vertical="center" wrapText="1"/>
    </xf>
    <xf numFmtId="164" fontId="14" fillId="2" borderId="13" xfId="3" quotePrefix="1" applyNumberFormat="1" applyFont="1" applyFill="1" applyBorder="1" applyAlignment="1">
      <alignment horizontal="center" vertical="center" wrapText="1"/>
    </xf>
    <xf numFmtId="164" fontId="14" fillId="0" borderId="13" xfId="3" quotePrefix="1" applyNumberFormat="1" applyFont="1" applyFill="1" applyBorder="1" applyAlignment="1">
      <alignment horizontal="center" vertical="center" wrapText="1"/>
    </xf>
    <xf numFmtId="164" fontId="15" fillId="0" borderId="13" xfId="4" applyNumberFormat="1" applyFont="1" applyFill="1" applyBorder="1" applyAlignment="1">
      <alignment horizontal="center" vertical="center" wrapText="1"/>
    </xf>
    <xf numFmtId="166" fontId="40" fillId="2" borderId="13" xfId="3" quotePrefix="1" applyNumberFormat="1" applyFont="1" applyFill="1" applyBorder="1" applyAlignment="1">
      <alignment horizontal="center" vertical="center" wrapText="1"/>
    </xf>
    <xf numFmtId="164" fontId="40" fillId="2" borderId="13" xfId="3" quotePrefix="1" applyNumberFormat="1" applyFont="1" applyFill="1" applyBorder="1" applyAlignment="1">
      <alignment horizontal="center" vertical="center" wrapText="1"/>
    </xf>
    <xf numFmtId="164" fontId="102" fillId="2" borderId="13" xfId="3" applyNumberFormat="1" applyFont="1" applyFill="1" applyBorder="1" applyAlignment="1">
      <alignment horizontal="center" vertical="center" wrapText="1"/>
    </xf>
    <xf numFmtId="164" fontId="49" fillId="2" borderId="13" xfId="3" quotePrefix="1" applyNumberFormat="1" applyFont="1" applyFill="1" applyBorder="1" applyAlignment="1">
      <alignment horizontal="center" vertical="center" wrapText="1"/>
    </xf>
    <xf numFmtId="164" fontId="49" fillId="0" borderId="13" xfId="3" quotePrefix="1" applyNumberFormat="1" applyFont="1" applyFill="1" applyBorder="1" applyAlignment="1">
      <alignment horizontal="center" vertical="center" wrapText="1"/>
    </xf>
    <xf numFmtId="166" fontId="49" fillId="2" borderId="13" xfId="3" quotePrefix="1" applyNumberFormat="1" applyFont="1" applyFill="1" applyBorder="1" applyAlignment="1">
      <alignment horizontal="center" vertical="center" wrapText="1"/>
    </xf>
    <xf numFmtId="9" fontId="58" fillId="0" borderId="13" xfId="2" applyFont="1" applyFill="1" applyBorder="1" applyAlignment="1">
      <alignment horizontal="center" vertical="center" wrapText="1"/>
    </xf>
    <xf numFmtId="167" fontId="26" fillId="0" borderId="20" xfId="3" applyNumberFormat="1" applyFont="1" applyFill="1" applyBorder="1" applyAlignment="1">
      <alignment horizontal="left" vertical="center" wrapText="1"/>
    </xf>
    <xf numFmtId="167" fontId="26" fillId="0" borderId="20" xfId="3" applyNumberFormat="1" applyFont="1" applyFill="1" applyBorder="1" applyAlignment="1">
      <alignment horizontal="center" vertical="center"/>
    </xf>
    <xf numFmtId="166" fontId="26" fillId="0" borderId="20" xfId="3" applyNumberFormat="1" applyFont="1" applyFill="1" applyBorder="1" applyAlignment="1">
      <alignment horizontal="center" vertical="center"/>
    </xf>
    <xf numFmtId="165" fontId="26" fillId="0" borderId="20" xfId="2" applyNumberFormat="1" applyFont="1" applyFill="1" applyBorder="1" applyAlignment="1">
      <alignment horizontal="center" vertical="center"/>
    </xf>
    <xf numFmtId="166" fontId="26" fillId="0" borderId="39" xfId="3" applyNumberFormat="1" applyFont="1" applyFill="1" applyBorder="1" applyAlignment="1">
      <alignment horizontal="center" vertical="center"/>
    </xf>
    <xf numFmtId="167" fontId="26" fillId="0" borderId="25" xfId="3" applyNumberFormat="1" applyFont="1" applyFill="1" applyBorder="1" applyAlignment="1">
      <alignment horizontal="center" vertical="center"/>
    </xf>
    <xf numFmtId="166" fontId="26" fillId="0" borderId="14" xfId="3" applyNumberFormat="1" applyFont="1" applyFill="1" applyBorder="1" applyAlignment="1">
      <alignment horizontal="center" vertical="center"/>
    </xf>
    <xf numFmtId="164" fontId="85" fillId="0" borderId="14" xfId="3" applyNumberFormat="1" applyFont="1" applyBorder="1"/>
    <xf numFmtId="164" fontId="85" fillId="0" borderId="17" xfId="3" applyNumberFormat="1" applyFont="1" applyBorder="1"/>
    <xf numFmtId="0" fontId="86" fillId="0" borderId="0" xfId="3" applyFont="1" applyAlignment="1">
      <alignment vertical="center"/>
    </xf>
    <xf numFmtId="49" fontId="58" fillId="0" borderId="3" xfId="3" applyNumberFormat="1" applyFont="1" applyFill="1" applyBorder="1" applyAlignment="1">
      <alignment horizontal="center" vertical="center"/>
    </xf>
    <xf numFmtId="167" fontId="59" fillId="0" borderId="4" xfId="3" applyNumberFormat="1" applyFont="1" applyFill="1" applyBorder="1" applyAlignment="1">
      <alignment vertical="center" wrapText="1"/>
    </xf>
    <xf numFmtId="49" fontId="58" fillId="0" borderId="4" xfId="3" applyNumberFormat="1" applyFont="1" applyFill="1" applyBorder="1" applyAlignment="1">
      <alignment horizontal="center" vertical="center" wrapText="1"/>
    </xf>
    <xf numFmtId="164" fontId="17" fillId="0" borderId="4" xfId="3" applyNumberFormat="1" applyFont="1" applyFill="1" applyBorder="1" applyAlignment="1">
      <alignment horizontal="center" vertical="center" wrapText="1"/>
    </xf>
    <xf numFmtId="166" fontId="55" fillId="0" borderId="4" xfId="3" applyNumberFormat="1" applyFont="1" applyFill="1" applyBorder="1" applyAlignment="1">
      <alignment horizontal="center" vertical="center" wrapText="1"/>
    </xf>
    <xf numFmtId="166" fontId="55" fillId="0" borderId="4" xfId="3" applyNumberFormat="1" applyFont="1" applyFill="1" applyBorder="1" applyAlignment="1">
      <alignment horizontal="center" vertical="center"/>
    </xf>
    <xf numFmtId="164" fontId="55" fillId="0" borderId="4" xfId="3" applyNumberFormat="1" applyFont="1" applyFill="1" applyBorder="1" applyAlignment="1">
      <alignment horizontal="center" vertical="center" wrapText="1"/>
    </xf>
    <xf numFmtId="166" fontId="55" fillId="0" borderId="4" xfId="2" applyNumberFormat="1" applyFont="1" applyFill="1" applyBorder="1" applyAlignment="1">
      <alignment horizontal="center" vertical="center" wrapText="1"/>
    </xf>
    <xf numFmtId="166" fontId="56" fillId="0" borderId="4" xfId="2" applyNumberFormat="1" applyFont="1" applyFill="1" applyBorder="1" applyAlignment="1">
      <alignment horizontal="center" vertical="center" wrapText="1"/>
    </xf>
    <xf numFmtId="165" fontId="56" fillId="0" borderId="4" xfId="2" applyNumberFormat="1" applyFont="1" applyFill="1" applyBorder="1" applyAlignment="1">
      <alignment horizontal="center" vertical="center" wrapText="1"/>
    </xf>
    <xf numFmtId="9" fontId="55" fillId="0" borderId="4" xfId="2" applyNumberFormat="1" applyFont="1" applyFill="1" applyBorder="1" applyAlignment="1">
      <alignment horizontal="center" vertical="center" wrapText="1"/>
    </xf>
    <xf numFmtId="9" fontId="17" fillId="0" borderId="14" xfId="3" applyNumberFormat="1" applyFont="1" applyFill="1" applyBorder="1" applyAlignment="1">
      <alignment horizontal="center" vertical="center" wrapText="1"/>
    </xf>
    <xf numFmtId="49" fontId="58" fillId="0" borderId="13" xfId="3" applyNumberFormat="1" applyFont="1" applyFill="1" applyBorder="1" applyAlignment="1">
      <alignment horizontal="center" vertical="center" wrapText="1"/>
    </xf>
    <xf numFmtId="166" fontId="55" fillId="0" borderId="13" xfId="3" applyNumberFormat="1" applyFont="1" applyFill="1" applyBorder="1" applyAlignment="1">
      <alignment horizontal="center" vertical="center"/>
    </xf>
    <xf numFmtId="49" fontId="58" fillId="0" borderId="28" xfId="3" applyNumberFormat="1" applyFont="1" applyFill="1" applyBorder="1" applyAlignment="1">
      <alignment horizontal="center" vertical="center"/>
    </xf>
    <xf numFmtId="49" fontId="58" fillId="0" borderId="14" xfId="3" applyNumberFormat="1" applyFont="1" applyFill="1" applyBorder="1" applyAlignment="1">
      <alignment horizontal="center" vertical="center" wrapText="1"/>
    </xf>
    <xf numFmtId="49" fontId="58" fillId="0" borderId="19" xfId="3" applyNumberFormat="1" applyFont="1" applyFill="1" applyBorder="1" applyAlignment="1">
      <alignment horizontal="center" vertical="center" wrapText="1"/>
    </xf>
    <xf numFmtId="166" fontId="17" fillId="0" borderId="19" xfId="3" applyNumberFormat="1" applyFont="1" applyFill="1" applyBorder="1" applyAlignment="1">
      <alignment horizontal="center" vertical="center"/>
    </xf>
    <xf numFmtId="166" fontId="17" fillId="0" borderId="13" xfId="3" applyNumberFormat="1" applyFont="1" applyFill="1" applyBorder="1" applyAlignment="1">
      <alignment horizontal="center" vertical="center"/>
    </xf>
    <xf numFmtId="9" fontId="17" fillId="0" borderId="19" xfId="2" applyFont="1" applyFill="1" applyBorder="1" applyAlignment="1">
      <alignment horizontal="center" vertical="center" wrapText="1"/>
    </xf>
    <xf numFmtId="9" fontId="58" fillId="0" borderId="14" xfId="2" applyFont="1" applyFill="1" applyBorder="1" applyAlignment="1">
      <alignment horizontal="center" vertical="center" wrapText="1"/>
    </xf>
    <xf numFmtId="49" fontId="82" fillId="0" borderId="20" xfId="3" applyNumberFormat="1" applyFont="1" applyFill="1" applyBorder="1" applyAlignment="1">
      <alignment horizontal="center" vertical="center" wrapText="1"/>
    </xf>
    <xf numFmtId="164" fontId="49" fillId="0" borderId="14" xfId="3" applyNumberFormat="1" applyFont="1" applyFill="1" applyBorder="1" applyAlignment="1">
      <alignment horizontal="center" vertical="center" wrapText="1"/>
    </xf>
    <xf numFmtId="166" fontId="49" fillId="0" borderId="14" xfId="3" applyNumberFormat="1" applyFont="1" applyFill="1" applyBorder="1" applyAlignment="1">
      <alignment horizontal="center" vertical="center" wrapText="1"/>
    </xf>
    <xf numFmtId="166" fontId="17" fillId="0" borderId="14" xfId="2" applyNumberFormat="1" applyFont="1" applyFill="1" applyBorder="1" applyAlignment="1">
      <alignment horizontal="center" vertical="center" wrapText="1"/>
    </xf>
    <xf numFmtId="164" fontId="52" fillId="0" borderId="13" xfId="3" applyNumberFormat="1" applyFont="1" applyBorder="1"/>
    <xf numFmtId="164" fontId="52" fillId="0" borderId="16" xfId="3" applyNumberFormat="1" applyFont="1" applyBorder="1"/>
    <xf numFmtId="49" fontId="58" fillId="0" borderId="36" xfId="3" applyNumberFormat="1" applyFont="1" applyFill="1" applyBorder="1" applyAlignment="1">
      <alignment horizontal="center" vertical="center"/>
    </xf>
    <xf numFmtId="167" fontId="59" fillId="0" borderId="15" xfId="3" applyNumberFormat="1" applyFont="1" applyFill="1" applyBorder="1" applyAlignment="1">
      <alignment vertical="center" wrapText="1"/>
    </xf>
    <xf numFmtId="49" fontId="58" fillId="0" borderId="15" xfId="3" applyNumberFormat="1" applyFont="1" applyFill="1" applyBorder="1" applyAlignment="1">
      <alignment horizontal="center" vertical="center" wrapText="1"/>
    </xf>
    <xf numFmtId="164" fontId="49" fillId="0" borderId="15" xfId="3" applyNumberFormat="1" applyFont="1" applyFill="1" applyBorder="1" applyAlignment="1">
      <alignment horizontal="center" vertical="center" wrapText="1"/>
    </xf>
    <xf numFmtId="165" fontId="58" fillId="0" borderId="20" xfId="2" applyNumberFormat="1" applyFont="1" applyFill="1" applyBorder="1" applyAlignment="1">
      <alignment horizontal="center" vertical="center" wrapText="1"/>
    </xf>
    <xf numFmtId="166" fontId="58" fillId="0" borderId="20" xfId="2" applyNumberFormat="1" applyFont="1" applyFill="1" applyBorder="1" applyAlignment="1">
      <alignment horizontal="center" vertical="center" wrapText="1"/>
    </xf>
    <xf numFmtId="9" fontId="26" fillId="3" borderId="20" xfId="2" applyNumberFormat="1" applyFont="1" applyFill="1" applyBorder="1" applyAlignment="1">
      <alignment horizontal="center" vertical="center" wrapText="1"/>
    </xf>
    <xf numFmtId="9" fontId="17" fillId="0" borderId="15" xfId="2" applyNumberFormat="1" applyFont="1" applyFill="1" applyBorder="1" applyAlignment="1">
      <alignment horizontal="center" vertical="center" wrapText="1"/>
    </xf>
    <xf numFmtId="9" fontId="14" fillId="0" borderId="15" xfId="2" applyNumberFormat="1" applyFont="1" applyFill="1" applyBorder="1" applyAlignment="1">
      <alignment horizontal="center" vertical="center" wrapText="1"/>
    </xf>
    <xf numFmtId="166" fontId="17" fillId="0" borderId="37" xfId="3" applyNumberFormat="1" applyFont="1" applyFill="1" applyBorder="1" applyAlignment="1">
      <alignment horizontal="center" vertical="center" wrapText="1"/>
    </xf>
    <xf numFmtId="9" fontId="17" fillId="0" borderId="37" xfId="3" applyNumberFormat="1" applyFont="1" applyFill="1" applyBorder="1" applyAlignment="1">
      <alignment horizontal="center" vertical="center" wrapText="1"/>
    </xf>
    <xf numFmtId="49" fontId="26" fillId="0" borderId="25" xfId="3" applyNumberFormat="1" applyFont="1" applyFill="1" applyBorder="1" applyAlignment="1">
      <alignment horizontal="center" vertical="center" wrapText="1"/>
    </xf>
    <xf numFmtId="164" fontId="87" fillId="0" borderId="13" xfId="3" applyNumberFormat="1" applyFont="1" applyBorder="1"/>
    <xf numFmtId="164" fontId="87" fillId="0" borderId="16" xfId="3" applyNumberFormat="1" applyFont="1" applyBorder="1"/>
    <xf numFmtId="49" fontId="103" fillId="0" borderId="15" xfId="4" applyNumberFormat="1" applyFont="1" applyFill="1" applyBorder="1" applyAlignment="1">
      <alignment horizontal="center" vertical="center"/>
    </xf>
    <xf numFmtId="164" fontId="103" fillId="0" borderId="15" xfId="4" applyNumberFormat="1" applyFont="1" applyFill="1" applyBorder="1" applyAlignment="1">
      <alignment horizontal="center" vertical="center"/>
    </xf>
    <xf numFmtId="9" fontId="104" fillId="0" borderId="15" xfId="2" applyNumberFormat="1" applyFont="1" applyFill="1" applyBorder="1" applyAlignment="1">
      <alignment horizontal="center" vertical="center"/>
    </xf>
    <xf numFmtId="9" fontId="105" fillId="0" borderId="15" xfId="2" applyNumberFormat="1" applyFont="1" applyFill="1" applyBorder="1" applyAlignment="1">
      <alignment horizontal="center" vertical="center"/>
    </xf>
    <xf numFmtId="9" fontId="103" fillId="0" borderId="15" xfId="2" applyNumberFormat="1" applyFont="1" applyFill="1" applyBorder="1" applyAlignment="1">
      <alignment horizontal="center" vertical="center"/>
    </xf>
    <xf numFmtId="9" fontId="103" fillId="0" borderId="15" xfId="2" applyNumberFormat="1" applyFont="1" applyFill="1" applyBorder="1" applyAlignment="1">
      <alignment horizontal="center" vertical="center" wrapText="1"/>
    </xf>
    <xf numFmtId="9" fontId="105" fillId="0" borderId="15" xfId="2" applyNumberFormat="1" applyFont="1" applyFill="1" applyBorder="1" applyAlignment="1">
      <alignment horizontal="center" vertical="center" wrapText="1"/>
    </xf>
    <xf numFmtId="9" fontId="105" fillId="0" borderId="15" xfId="4" applyNumberFormat="1" applyFont="1" applyFill="1" applyBorder="1" applyAlignment="1">
      <alignment horizontal="center" vertical="center"/>
    </xf>
    <xf numFmtId="9" fontId="105" fillId="0" borderId="20" xfId="2" applyNumberFormat="1" applyFont="1" applyFill="1" applyBorder="1" applyAlignment="1">
      <alignment horizontal="center" vertical="center" wrapText="1"/>
    </xf>
    <xf numFmtId="9" fontId="17" fillId="0" borderId="20" xfId="2" applyNumberFormat="1" applyFont="1" applyFill="1" applyBorder="1" applyAlignment="1">
      <alignment horizontal="center" vertical="center" wrapText="1"/>
    </xf>
    <xf numFmtId="9" fontId="105" fillId="0" borderId="25" xfId="2" applyNumberFormat="1" applyFont="1" applyFill="1" applyBorder="1" applyAlignment="1">
      <alignment horizontal="center" vertical="center"/>
    </xf>
    <xf numFmtId="9" fontId="105" fillId="0" borderId="25" xfId="2" applyNumberFormat="1" applyFont="1" applyFill="1" applyBorder="1" applyAlignment="1">
      <alignment horizontal="center" vertical="center" wrapText="1"/>
    </xf>
    <xf numFmtId="9" fontId="17" fillId="0" borderId="25" xfId="2" applyNumberFormat="1" applyFont="1" applyFill="1" applyBorder="1" applyAlignment="1">
      <alignment horizontal="center" vertical="center" wrapText="1"/>
    </xf>
    <xf numFmtId="165" fontId="104" fillId="0" borderId="15" xfId="2" applyNumberFormat="1" applyFont="1" applyFill="1" applyBorder="1" applyAlignment="1">
      <alignment horizontal="center" vertical="center"/>
    </xf>
    <xf numFmtId="9" fontId="105" fillId="0" borderId="15" xfId="2" applyFont="1" applyFill="1" applyBorder="1" applyAlignment="1">
      <alignment horizontal="center" vertical="center"/>
    </xf>
    <xf numFmtId="165" fontId="105" fillId="0" borderId="15" xfId="2" applyNumberFormat="1" applyFont="1" applyFill="1" applyBorder="1" applyAlignment="1">
      <alignment horizontal="center" vertical="center"/>
    </xf>
    <xf numFmtId="165" fontId="105" fillId="0" borderId="25" xfId="4" applyNumberFormat="1" applyFont="1" applyFill="1" applyBorder="1" applyAlignment="1">
      <alignment horizontal="center" vertical="center"/>
    </xf>
    <xf numFmtId="9" fontId="105" fillId="0" borderId="13" xfId="2" applyFont="1" applyFill="1" applyBorder="1" applyAlignment="1">
      <alignment horizontal="center" vertical="center" wrapText="1"/>
    </xf>
    <xf numFmtId="166" fontId="105" fillId="0" borderId="13" xfId="4" applyNumberFormat="1" applyFont="1" applyFill="1" applyBorder="1" applyAlignment="1">
      <alignment horizontal="center" vertical="center"/>
    </xf>
    <xf numFmtId="166" fontId="105" fillId="0" borderId="13" xfId="4" applyNumberFormat="1" applyFont="1" applyFill="1" applyBorder="1" applyAlignment="1">
      <alignment horizontal="center" vertical="center" wrapText="1"/>
    </xf>
    <xf numFmtId="0" fontId="105" fillId="0" borderId="13" xfId="3" applyFont="1" applyFill="1" applyBorder="1" applyAlignment="1">
      <alignment vertical="center"/>
    </xf>
    <xf numFmtId="0" fontId="105" fillId="0" borderId="16" xfId="3" applyFont="1" applyBorder="1" applyAlignment="1">
      <alignment vertical="center"/>
    </xf>
    <xf numFmtId="0" fontId="106" fillId="0" borderId="0" xfId="3" applyFont="1" applyAlignment="1">
      <alignment vertical="center"/>
    </xf>
    <xf numFmtId="49" fontId="107" fillId="0" borderId="25" xfId="3" applyNumberFormat="1" applyFont="1" applyFill="1" applyBorder="1" applyAlignment="1">
      <alignment horizontal="center" vertical="center" wrapText="1"/>
    </xf>
    <xf numFmtId="164" fontId="107" fillId="0" borderId="25" xfId="3" applyNumberFormat="1" applyFont="1" applyFill="1" applyBorder="1" applyAlignment="1">
      <alignment horizontal="center" vertical="center" wrapText="1"/>
    </xf>
    <xf numFmtId="166" fontId="107" fillId="0" borderId="25" xfId="3" applyNumberFormat="1" applyFont="1" applyFill="1" applyBorder="1" applyAlignment="1">
      <alignment horizontal="center" vertical="center" wrapText="1"/>
    </xf>
    <xf numFmtId="166" fontId="107" fillId="0" borderId="25" xfId="2" applyNumberFormat="1" applyFont="1" applyFill="1" applyBorder="1" applyAlignment="1">
      <alignment horizontal="center" vertical="center" wrapText="1"/>
    </xf>
    <xf numFmtId="166" fontId="107" fillId="0" borderId="20" xfId="3" applyNumberFormat="1" applyFont="1" applyFill="1" applyBorder="1" applyAlignment="1">
      <alignment horizontal="center" vertical="center" wrapText="1"/>
    </xf>
    <xf numFmtId="9" fontId="107" fillId="3" borderId="25" xfId="2" applyNumberFormat="1" applyFont="1" applyFill="1" applyBorder="1" applyAlignment="1">
      <alignment horizontal="center" vertical="center" wrapText="1"/>
    </xf>
    <xf numFmtId="166" fontId="108" fillId="0" borderId="25" xfId="3" applyNumberFormat="1" applyFont="1" applyFill="1" applyBorder="1" applyAlignment="1">
      <alignment horizontal="center" vertical="center" wrapText="1"/>
    </xf>
    <xf numFmtId="9" fontId="107" fillId="0" borderId="25" xfId="2" applyNumberFormat="1" applyFont="1" applyFill="1" applyBorder="1" applyAlignment="1">
      <alignment horizontal="center" vertical="center" wrapText="1"/>
    </xf>
    <xf numFmtId="165" fontId="107" fillId="0" borderId="25" xfId="2" applyNumberFormat="1" applyFont="1" applyFill="1" applyBorder="1" applyAlignment="1">
      <alignment horizontal="center" vertical="center" wrapText="1"/>
    </xf>
    <xf numFmtId="164" fontId="108" fillId="0" borderId="25" xfId="3" applyNumberFormat="1" applyFont="1" applyFill="1" applyBorder="1" applyAlignment="1">
      <alignment horizontal="center" vertical="center" wrapText="1"/>
    </xf>
    <xf numFmtId="9" fontId="108" fillId="0" borderId="13" xfId="2" applyFont="1" applyFill="1" applyBorder="1" applyAlignment="1">
      <alignment horizontal="center" vertical="center" wrapText="1"/>
    </xf>
    <xf numFmtId="166" fontId="108" fillId="0" borderId="13" xfId="3" applyNumberFormat="1" applyFont="1" applyFill="1" applyBorder="1" applyAlignment="1">
      <alignment horizontal="center" vertical="center" wrapText="1"/>
    </xf>
    <xf numFmtId="166" fontId="108" fillId="2" borderId="13" xfId="3" applyNumberFormat="1" applyFont="1" applyFill="1" applyBorder="1" applyAlignment="1">
      <alignment horizontal="center" vertical="center" wrapText="1"/>
    </xf>
    <xf numFmtId="0" fontId="109" fillId="0" borderId="13" xfId="3" applyFont="1" applyBorder="1"/>
    <xf numFmtId="0" fontId="109" fillId="0" borderId="16" xfId="3" applyFont="1" applyBorder="1"/>
    <xf numFmtId="0" fontId="110" fillId="0" borderId="0" xfId="3" applyFont="1"/>
    <xf numFmtId="49" fontId="104" fillId="0" borderId="14" xfId="3" applyNumberFormat="1" applyFont="1" applyFill="1" applyBorder="1" applyAlignment="1">
      <alignment horizontal="center" vertical="center" wrapText="1"/>
    </xf>
    <xf numFmtId="164" fontId="104" fillId="0" borderId="14" xfId="3" applyNumberFormat="1" applyFont="1" applyFill="1" applyBorder="1" applyAlignment="1">
      <alignment horizontal="center" vertical="center" wrapText="1"/>
    </xf>
    <xf numFmtId="166" fontId="104" fillId="0" borderId="14" xfId="3" applyNumberFormat="1" applyFont="1" applyFill="1" applyBorder="1" applyAlignment="1">
      <alignment horizontal="center" vertical="center" wrapText="1"/>
    </xf>
    <xf numFmtId="166" fontId="104" fillId="0" borderId="14" xfId="2" applyNumberFormat="1" applyFont="1" applyFill="1" applyBorder="1" applyAlignment="1">
      <alignment horizontal="center" vertical="center" wrapText="1"/>
    </xf>
    <xf numFmtId="165" fontId="34" fillId="0" borderId="15" xfId="2" applyNumberFormat="1" applyFont="1" applyFill="1" applyBorder="1" applyAlignment="1">
      <alignment horizontal="center" vertical="center" wrapText="1"/>
    </xf>
    <xf numFmtId="165" fontId="104" fillId="0" borderId="14" xfId="2" applyNumberFormat="1" applyFont="1" applyFill="1" applyBorder="1" applyAlignment="1">
      <alignment horizontal="center" vertical="center" wrapText="1"/>
    </xf>
    <xf numFmtId="9" fontId="104" fillId="0" borderId="4" xfId="2" applyNumberFormat="1" applyFont="1" applyFill="1" applyBorder="1" applyAlignment="1">
      <alignment horizontal="center" vertical="center"/>
    </xf>
    <xf numFmtId="9" fontId="104" fillId="0" borderId="14" xfId="2" applyNumberFormat="1" applyFont="1" applyFill="1" applyBorder="1" applyAlignment="1">
      <alignment horizontal="center" vertical="center" wrapText="1"/>
    </xf>
    <xf numFmtId="164" fontId="111" fillId="0" borderId="14" xfId="3" applyNumberFormat="1" applyFont="1" applyFill="1" applyBorder="1" applyAlignment="1">
      <alignment horizontal="center" vertical="center" wrapText="1"/>
    </xf>
    <xf numFmtId="9" fontId="111" fillId="0" borderId="13" xfId="2" applyFont="1" applyFill="1" applyBorder="1" applyAlignment="1">
      <alignment horizontal="center" vertical="center" wrapText="1"/>
    </xf>
    <xf numFmtId="166" fontId="111" fillId="0" borderId="13" xfId="3" applyNumberFormat="1" applyFont="1" applyFill="1" applyBorder="1" applyAlignment="1">
      <alignment horizontal="center" vertical="center" wrapText="1"/>
    </xf>
    <xf numFmtId="0" fontId="111" fillId="0" borderId="13" xfId="3" applyFont="1" applyFill="1" applyBorder="1"/>
    <xf numFmtId="0" fontId="111" fillId="0" borderId="16" xfId="3" applyFont="1" applyFill="1" applyBorder="1"/>
    <xf numFmtId="0" fontId="112" fillId="0" borderId="0" xfId="3" applyFont="1" applyFill="1"/>
    <xf numFmtId="166" fontId="112" fillId="0" borderId="0" xfId="3" applyNumberFormat="1" applyFont="1" applyFill="1"/>
    <xf numFmtId="49" fontId="113" fillId="0" borderId="13" xfId="3" applyNumberFormat="1" applyFont="1" applyFill="1" applyBorder="1" applyAlignment="1">
      <alignment horizontal="center" vertical="center" wrapText="1"/>
    </xf>
    <xf numFmtId="164" fontId="113" fillId="0" borderId="13" xfId="3" applyNumberFormat="1" applyFont="1" applyFill="1" applyBorder="1" applyAlignment="1">
      <alignment horizontal="center" vertical="center" wrapText="1"/>
    </xf>
    <xf numFmtId="166" fontId="113" fillId="0" borderId="13" xfId="3" applyNumberFormat="1" applyFont="1" applyFill="1" applyBorder="1" applyAlignment="1">
      <alignment horizontal="center" vertical="center" wrapText="1"/>
    </xf>
    <xf numFmtId="166" fontId="113" fillId="0" borderId="13" xfId="2" applyNumberFormat="1" applyFont="1" applyFill="1" applyBorder="1" applyAlignment="1">
      <alignment horizontal="center" vertical="center" wrapText="1"/>
    </xf>
    <xf numFmtId="165" fontId="14" fillId="0" borderId="38" xfId="2" applyNumberFormat="1" applyFont="1" applyFill="1" applyBorder="1" applyAlignment="1">
      <alignment horizontal="center" vertical="center" wrapText="1"/>
    </xf>
    <xf numFmtId="165" fontId="14" fillId="0" borderId="14" xfId="2" applyNumberFormat="1" applyFont="1" applyFill="1" applyBorder="1" applyAlignment="1">
      <alignment horizontal="center" vertical="center" wrapText="1"/>
    </xf>
    <xf numFmtId="165" fontId="113" fillId="0" borderId="13" xfId="2" applyNumberFormat="1" applyFont="1" applyFill="1" applyBorder="1" applyAlignment="1">
      <alignment horizontal="center" vertical="center" wrapText="1"/>
    </xf>
    <xf numFmtId="9" fontId="113" fillId="3" borderId="20" xfId="2" applyNumberFormat="1" applyFont="1" applyFill="1" applyBorder="1" applyAlignment="1">
      <alignment horizontal="center" vertical="center" wrapText="1"/>
    </xf>
    <xf numFmtId="9" fontId="113" fillId="0" borderId="38" xfId="2" applyNumberFormat="1" applyFont="1" applyFill="1" applyBorder="1" applyAlignment="1">
      <alignment horizontal="center" vertical="center" wrapText="1"/>
    </xf>
    <xf numFmtId="165" fontId="113" fillId="0" borderId="38" xfId="2" applyNumberFormat="1" applyFont="1" applyFill="1" applyBorder="1" applyAlignment="1">
      <alignment horizontal="center" vertical="center" wrapText="1"/>
    </xf>
    <xf numFmtId="164" fontId="114" fillId="0" borderId="38" xfId="3" applyNumberFormat="1" applyFont="1" applyFill="1" applyBorder="1" applyAlignment="1">
      <alignment horizontal="center" vertical="center" wrapText="1"/>
    </xf>
    <xf numFmtId="9" fontId="114" fillId="0" borderId="13" xfId="2" applyFont="1" applyFill="1" applyBorder="1" applyAlignment="1">
      <alignment horizontal="center" vertical="center" wrapText="1"/>
    </xf>
    <xf numFmtId="166" fontId="114" fillId="0" borderId="13" xfId="3" applyNumberFormat="1" applyFont="1" applyFill="1" applyBorder="1" applyAlignment="1">
      <alignment horizontal="center" vertical="center" wrapText="1"/>
    </xf>
    <xf numFmtId="166" fontId="114" fillId="2" borderId="13" xfId="3" applyNumberFormat="1" applyFont="1" applyFill="1" applyBorder="1" applyAlignment="1">
      <alignment horizontal="center" vertical="center" wrapText="1"/>
    </xf>
    <xf numFmtId="0" fontId="114" fillId="0" borderId="13" xfId="3" applyFont="1" applyBorder="1"/>
    <xf numFmtId="0" fontId="114" fillId="0" borderId="16" xfId="3" applyFont="1" applyBorder="1"/>
    <xf numFmtId="0" fontId="115" fillId="0" borderId="0" xfId="3" applyFont="1"/>
    <xf numFmtId="166" fontId="115" fillId="0" borderId="0" xfId="3" applyNumberFormat="1" applyFont="1"/>
    <xf numFmtId="167" fontId="116" fillId="5" borderId="18" xfId="3" applyNumberFormat="1" applyFont="1" applyFill="1" applyBorder="1" applyAlignment="1">
      <alignment horizontal="center" vertical="center" wrapText="1"/>
    </xf>
    <xf numFmtId="167" fontId="116" fillId="5" borderId="19" xfId="3" applyNumberFormat="1" applyFont="1" applyFill="1" applyBorder="1" applyAlignment="1">
      <alignment horizontal="center" vertical="center" wrapText="1"/>
    </xf>
    <xf numFmtId="49" fontId="113" fillId="0" borderId="19" xfId="3" applyNumberFormat="1" applyFont="1" applyFill="1" applyBorder="1" applyAlignment="1">
      <alignment horizontal="center" vertical="center" wrapText="1"/>
    </xf>
    <xf numFmtId="164" fontId="113" fillId="0" borderId="19" xfId="3" applyNumberFormat="1" applyFont="1" applyFill="1" applyBorder="1" applyAlignment="1">
      <alignment horizontal="center" vertical="center" wrapText="1"/>
    </xf>
    <xf numFmtId="166" fontId="113" fillId="0" borderId="19" xfId="3" applyNumberFormat="1" applyFont="1" applyFill="1" applyBorder="1" applyAlignment="1">
      <alignment horizontal="center" vertical="center" wrapText="1"/>
    </xf>
    <xf numFmtId="166" fontId="113" fillId="0" borderId="19" xfId="2" applyNumberFormat="1" applyFont="1" applyFill="1" applyBorder="1" applyAlignment="1">
      <alignment horizontal="center" vertical="center" wrapText="1"/>
    </xf>
    <xf numFmtId="165" fontId="17" fillId="0" borderId="15" xfId="2" applyNumberFormat="1" applyFont="1" applyFill="1" applyBorder="1" applyAlignment="1">
      <alignment horizontal="center" vertical="center" wrapText="1"/>
    </xf>
    <xf numFmtId="165" fontId="113" fillId="0" borderId="19" xfId="2" applyNumberFormat="1" applyFont="1" applyFill="1" applyBorder="1" applyAlignment="1">
      <alignment horizontal="center" vertical="center" wrapText="1"/>
    </xf>
    <xf numFmtId="9" fontId="113" fillId="3" borderId="25" xfId="2" applyNumberFormat="1" applyFont="1" applyFill="1" applyBorder="1" applyAlignment="1">
      <alignment horizontal="center" vertical="center" wrapText="1"/>
    </xf>
    <xf numFmtId="9" fontId="113" fillId="0" borderId="14" xfId="2" applyNumberFormat="1" applyFont="1" applyFill="1" applyBorder="1" applyAlignment="1">
      <alignment horizontal="center" vertical="center" wrapText="1"/>
    </xf>
    <xf numFmtId="166" fontId="114" fillId="0" borderId="19" xfId="3" applyNumberFormat="1" applyFont="1" applyFill="1" applyBorder="1" applyAlignment="1">
      <alignment horizontal="center" vertical="center" wrapText="1"/>
    </xf>
    <xf numFmtId="9" fontId="114" fillId="0" borderId="19" xfId="3" applyNumberFormat="1" applyFont="1" applyFill="1" applyBorder="1" applyAlignment="1">
      <alignment horizontal="center" vertical="center" wrapText="1"/>
    </xf>
    <xf numFmtId="164" fontId="114" fillId="0" borderId="14" xfId="3" applyNumberFormat="1" applyFont="1" applyFill="1" applyBorder="1" applyAlignment="1">
      <alignment horizontal="center" vertical="center" wrapText="1"/>
    </xf>
    <xf numFmtId="0" fontId="117" fillId="0" borderId="13" xfId="3" applyFont="1" applyBorder="1"/>
    <xf numFmtId="0" fontId="117" fillId="0" borderId="16" xfId="3" applyFont="1" applyBorder="1"/>
    <xf numFmtId="0" fontId="118" fillId="0" borderId="0" xfId="3" applyFont="1"/>
    <xf numFmtId="49" fontId="103" fillId="0" borderId="25" xfId="3" applyNumberFormat="1" applyFont="1" applyFill="1" applyBorder="1" applyAlignment="1">
      <alignment horizontal="center" vertical="center" wrapText="1"/>
    </xf>
    <xf numFmtId="164" fontId="103" fillId="0" borderId="25" xfId="3" applyNumberFormat="1" applyFont="1" applyFill="1" applyBorder="1" applyAlignment="1">
      <alignment horizontal="center" vertical="center" wrapText="1"/>
    </xf>
    <xf numFmtId="166" fontId="103" fillId="0" borderId="25" xfId="3" applyNumberFormat="1" applyFont="1" applyFill="1" applyBorder="1" applyAlignment="1">
      <alignment horizontal="center" vertical="center" wrapText="1"/>
    </xf>
    <xf numFmtId="166" fontId="119" fillId="0" borderId="25" xfId="3" applyNumberFormat="1" applyFont="1" applyFill="1" applyBorder="1" applyAlignment="1">
      <alignment horizontal="center" vertical="center" wrapText="1"/>
    </xf>
    <xf numFmtId="165" fontId="119" fillId="0" borderId="25" xfId="2" applyNumberFormat="1" applyFont="1" applyFill="1" applyBorder="1" applyAlignment="1">
      <alignment horizontal="center" vertical="center" wrapText="1"/>
    </xf>
    <xf numFmtId="9" fontId="103" fillId="3" borderId="25" xfId="2" applyNumberFormat="1" applyFont="1" applyFill="1" applyBorder="1" applyAlignment="1">
      <alignment horizontal="center" vertical="center" wrapText="1"/>
    </xf>
    <xf numFmtId="9" fontId="103" fillId="0" borderId="38" xfId="2" applyNumberFormat="1" applyFont="1" applyFill="1" applyBorder="1" applyAlignment="1">
      <alignment horizontal="center" vertical="center" wrapText="1"/>
    </xf>
    <xf numFmtId="165" fontId="103" fillId="3" borderId="25" xfId="2" applyNumberFormat="1" applyFont="1" applyFill="1" applyBorder="1" applyAlignment="1">
      <alignment horizontal="center" vertical="center" wrapText="1"/>
    </xf>
    <xf numFmtId="164" fontId="119" fillId="0" borderId="38" xfId="3" applyNumberFormat="1" applyFont="1" applyFill="1" applyBorder="1" applyAlignment="1">
      <alignment horizontal="center" vertical="center" wrapText="1"/>
    </xf>
    <xf numFmtId="9" fontId="119" fillId="0" borderId="38" xfId="2" applyFont="1" applyFill="1" applyBorder="1" applyAlignment="1">
      <alignment horizontal="center" vertical="center" wrapText="1"/>
    </xf>
    <xf numFmtId="166" fontId="119" fillId="0" borderId="38" xfId="3" applyNumberFormat="1" applyFont="1" applyFill="1" applyBorder="1" applyAlignment="1">
      <alignment horizontal="center" vertical="center" wrapText="1"/>
    </xf>
    <xf numFmtId="166" fontId="119" fillId="2" borderId="38" xfId="3" applyNumberFormat="1" applyFont="1" applyFill="1" applyBorder="1" applyAlignment="1">
      <alignment horizontal="center" vertical="center" wrapText="1"/>
    </xf>
    <xf numFmtId="0" fontId="120" fillId="0" borderId="38" xfId="3" applyFont="1" applyBorder="1"/>
    <xf numFmtId="0" fontId="120" fillId="0" borderId="21" xfId="3" applyFont="1" applyBorder="1"/>
    <xf numFmtId="0" fontId="121" fillId="0" borderId="0" xfId="3" applyFont="1"/>
    <xf numFmtId="166" fontId="121" fillId="0" borderId="0" xfId="3" applyNumberFormat="1" applyFont="1"/>
    <xf numFmtId="49" fontId="4" fillId="0" borderId="0" xfId="3" applyNumberFormat="1" applyFont="1" applyBorder="1" applyAlignment="1">
      <alignment horizontal="center"/>
    </xf>
    <xf numFmtId="0" fontId="122" fillId="0" borderId="0" xfId="3" applyFont="1" applyBorder="1"/>
    <xf numFmtId="49" fontId="5" fillId="0" borderId="0" xfId="3" applyNumberFormat="1" applyFont="1" applyBorder="1"/>
    <xf numFmtId="164" fontId="5" fillId="0" borderId="0" xfId="3" applyNumberFormat="1" applyFont="1" applyBorder="1"/>
    <xf numFmtId="164" fontId="0" fillId="0" borderId="0" xfId="4" applyNumberFormat="1" applyFont="1" applyBorder="1"/>
    <xf numFmtId="164" fontId="1" fillId="0" borderId="0" xfId="3" applyNumberFormat="1" applyFont="1" applyBorder="1"/>
    <xf numFmtId="164" fontId="6" fillId="0" borderId="0" xfId="4" applyNumberFormat="1" applyFont="1" applyBorder="1"/>
    <xf numFmtId="165" fontId="11" fillId="0" borderId="0" xfId="4" applyNumberFormat="1" applyFont="1" applyFill="1" applyBorder="1" applyAlignment="1">
      <alignment horizontal="center" vertical="center" wrapText="1"/>
    </xf>
    <xf numFmtId="165" fontId="1" fillId="0" borderId="0" xfId="3" applyNumberFormat="1" applyFont="1" applyBorder="1"/>
    <xf numFmtId="165" fontId="6" fillId="0" borderId="0" xfId="4" applyNumberFormat="1" applyFont="1" applyBorder="1"/>
    <xf numFmtId="165" fontId="12" fillId="3" borderId="0" xfId="4" applyNumberFormat="1" applyFont="1" applyFill="1" applyBorder="1" applyAlignment="1">
      <alignment horizontal="center" vertical="center" wrapText="1"/>
    </xf>
    <xf numFmtId="0" fontId="5" fillId="4" borderId="11" xfId="3" applyFont="1" applyFill="1" applyBorder="1"/>
    <xf numFmtId="49" fontId="5" fillId="0" borderId="1" xfId="3" applyNumberFormat="1" applyFont="1" applyBorder="1"/>
    <xf numFmtId="164" fontId="5" fillId="4" borderId="1" xfId="4" applyNumberFormat="1" applyFont="1" applyFill="1" applyBorder="1" applyAlignment="1">
      <alignment horizontal="center"/>
    </xf>
    <xf numFmtId="164" fontId="5" fillId="0" borderId="1" xfId="3" applyNumberFormat="1" applyFont="1" applyBorder="1"/>
    <xf numFmtId="165" fontId="1" fillId="0" borderId="1" xfId="3" applyNumberFormat="1" applyFont="1" applyBorder="1"/>
    <xf numFmtId="165" fontId="12" fillId="3" borderId="14" xfId="4" applyNumberFormat="1" applyFont="1" applyFill="1" applyBorder="1" applyAlignment="1">
      <alignment horizontal="center" vertical="center" wrapText="1"/>
    </xf>
    <xf numFmtId="164" fontId="5" fillId="0" borderId="1" xfId="4" applyNumberFormat="1" applyFont="1" applyFill="1" applyBorder="1" applyAlignment="1">
      <alignment horizontal="center"/>
    </xf>
    <xf numFmtId="164" fontId="5" fillId="0" borderId="1" xfId="3" applyNumberFormat="1" applyFont="1" applyFill="1" applyBorder="1"/>
    <xf numFmtId="164" fontId="6" fillId="0" borderId="1" xfId="4" applyNumberFormat="1" applyFont="1" applyBorder="1"/>
    <xf numFmtId="164" fontId="0" fillId="0" borderId="1" xfId="4" applyNumberFormat="1" applyFont="1" applyBorder="1"/>
    <xf numFmtId="164" fontId="1" fillId="0" borderId="1" xfId="3" applyNumberFormat="1" applyFont="1" applyBorder="1"/>
    <xf numFmtId="49" fontId="4" fillId="0" borderId="0" xfId="3" applyNumberFormat="1" applyFont="1" applyFill="1" applyAlignment="1">
      <alignment horizontal="center"/>
    </xf>
    <xf numFmtId="0" fontId="5" fillId="0" borderId="0" xfId="3" applyFont="1" applyFill="1" applyBorder="1"/>
    <xf numFmtId="49" fontId="5" fillId="0" borderId="0" xfId="3" applyNumberFormat="1" applyFont="1" applyFill="1" applyBorder="1"/>
    <xf numFmtId="164" fontId="5" fillId="0" borderId="0" xfId="4" applyNumberFormat="1" applyFont="1" applyFill="1" applyBorder="1" applyAlignment="1">
      <alignment horizontal="center"/>
    </xf>
    <xf numFmtId="164" fontId="5" fillId="0" borderId="0" xfId="3" applyNumberFormat="1" applyFont="1" applyFill="1" applyBorder="1"/>
    <xf numFmtId="165" fontId="1" fillId="0" borderId="0" xfId="3" applyNumberFormat="1" applyFont="1" applyFill="1" applyBorder="1"/>
    <xf numFmtId="165" fontId="12" fillId="0" borderId="0" xfId="4" applyNumberFormat="1" applyFont="1" applyFill="1" applyBorder="1" applyAlignment="1">
      <alignment horizontal="center" vertical="center" wrapText="1"/>
    </xf>
    <xf numFmtId="164" fontId="6" fillId="0" borderId="0" xfId="4" applyNumberFormat="1" applyFont="1" applyFill="1" applyBorder="1"/>
    <xf numFmtId="164" fontId="0" fillId="0" borderId="0" xfId="4" applyNumberFormat="1" applyFont="1" applyFill="1" applyBorder="1"/>
    <xf numFmtId="164" fontId="1" fillId="0" borderId="0" xfId="3" applyNumberFormat="1" applyFont="1" applyFill="1" applyBorder="1"/>
    <xf numFmtId="49" fontId="123" fillId="0" borderId="0" xfId="3" applyNumberFormat="1" applyFont="1" applyAlignment="1"/>
    <xf numFmtId="49" fontId="43" fillId="0" borderId="0" xfId="3" applyNumberFormat="1" applyFont="1" applyAlignment="1"/>
    <xf numFmtId="166" fontId="1" fillId="0" borderId="0" xfId="2" applyNumberFormat="1" applyFont="1"/>
    <xf numFmtId="9" fontId="1" fillId="0" borderId="0" xfId="2" applyFont="1"/>
    <xf numFmtId="0" fontId="124" fillId="0" borderId="35" xfId="0" applyFont="1" applyBorder="1" applyAlignment="1">
      <alignment horizontal="center" vertical="center" wrapText="1"/>
    </xf>
    <xf numFmtId="0" fontId="124" fillId="0" borderId="25" xfId="0" applyFont="1" applyBorder="1" applyAlignment="1">
      <alignment horizontal="center" vertical="center" wrapText="1"/>
    </xf>
    <xf numFmtId="0" fontId="124" fillId="0" borderId="26" xfId="0" applyFont="1" applyBorder="1" applyAlignment="1">
      <alignment horizontal="center" vertical="center" wrapText="1"/>
    </xf>
    <xf numFmtId="0" fontId="125" fillId="0" borderId="43" xfId="0" applyFont="1" applyBorder="1" applyAlignment="1">
      <alignment horizontal="center" vertical="center" wrapText="1"/>
    </xf>
    <xf numFmtId="164" fontId="126" fillId="0" borderId="0" xfId="3" applyNumberFormat="1" applyFont="1" applyBorder="1"/>
    <xf numFmtId="164" fontId="127" fillId="0" borderId="0" xfId="4" applyNumberFormat="1" applyFont="1" applyBorder="1"/>
    <xf numFmtId="164" fontId="127" fillId="0" borderId="0" xfId="3" applyNumberFormat="1" applyFont="1" applyBorder="1"/>
    <xf numFmtId="165" fontId="127" fillId="0" borderId="0" xfId="3" applyNumberFormat="1" applyFont="1" applyBorder="1"/>
    <xf numFmtId="164" fontId="128" fillId="0" borderId="0" xfId="3" applyNumberFormat="1" applyFont="1" applyBorder="1"/>
    <xf numFmtId="165" fontId="127" fillId="0" borderId="0" xfId="4" applyNumberFormat="1" applyFont="1" applyBorder="1"/>
    <xf numFmtId="0" fontId="124" fillId="0" borderId="0" xfId="0" applyFont="1" applyBorder="1" applyAlignment="1">
      <alignment horizontal="center" vertical="center" wrapText="1"/>
    </xf>
    <xf numFmtId="166" fontId="129" fillId="0" borderId="0" xfId="0" applyNumberFormat="1" applyFont="1" applyBorder="1" applyAlignment="1">
      <alignment horizontal="center" vertical="center" wrapText="1"/>
    </xf>
    <xf numFmtId="0" fontId="129" fillId="0" borderId="0" xfId="0" applyFont="1" applyBorder="1" applyAlignment="1">
      <alignment horizontal="center" vertical="center" wrapText="1"/>
    </xf>
    <xf numFmtId="166" fontId="130" fillId="2" borderId="43" xfId="3" applyNumberFormat="1" applyFont="1" applyFill="1" applyBorder="1" applyAlignment="1">
      <alignment horizontal="center" vertical="center" wrapText="1"/>
    </xf>
    <xf numFmtId="166" fontId="130" fillId="0" borderId="39" xfId="0" applyNumberFormat="1" applyFont="1" applyBorder="1" applyAlignment="1">
      <alignment horizontal="center" vertical="center" wrapText="1"/>
    </xf>
    <xf numFmtId="166" fontId="130" fillId="0" borderId="20" xfId="0" applyNumberFormat="1" applyFont="1" applyBorder="1" applyAlignment="1">
      <alignment horizontal="center" vertical="center" wrapText="1"/>
    </xf>
    <xf numFmtId="166" fontId="130" fillId="0" borderId="44" xfId="0" applyNumberFormat="1" applyFont="1" applyBorder="1" applyAlignment="1">
      <alignment horizontal="center" vertical="center" wrapText="1"/>
    </xf>
    <xf numFmtId="165" fontId="130" fillId="0" borderId="43" xfId="2" applyNumberFormat="1" applyFont="1" applyBorder="1" applyAlignment="1">
      <alignment horizontal="center" vertical="center" wrapText="1"/>
    </xf>
    <xf numFmtId="166" fontId="131" fillId="0" borderId="0" xfId="3" applyNumberFormat="1" applyFont="1" applyBorder="1" applyAlignment="1">
      <alignment vertical="center" wrapText="1"/>
    </xf>
    <xf numFmtId="166" fontId="132" fillId="0" borderId="0" xfId="3" applyNumberFormat="1" applyFont="1" applyBorder="1" applyAlignment="1">
      <alignment vertical="center" wrapText="1"/>
    </xf>
    <xf numFmtId="166" fontId="53" fillId="0" borderId="0" xfId="3" applyNumberFormat="1" applyFont="1" applyFill="1" applyBorder="1" applyAlignment="1">
      <alignment horizontal="center" vertical="center" wrapText="1"/>
    </xf>
    <xf numFmtId="166" fontId="133" fillId="0" borderId="0" xfId="0" applyNumberFormat="1" applyFont="1" applyBorder="1" applyAlignment="1">
      <alignment horizontal="center" vertical="center" wrapText="1"/>
    </xf>
    <xf numFmtId="0" fontId="135" fillId="0" borderId="0" xfId="0" applyFont="1" applyBorder="1" applyAlignment="1">
      <alignment horizontal="left" vertical="center" wrapText="1"/>
    </xf>
    <xf numFmtId="166" fontId="135" fillId="0" borderId="0" xfId="0" applyNumberFormat="1" applyFont="1" applyBorder="1" applyAlignment="1">
      <alignment horizontal="left" vertical="center" wrapText="1"/>
    </xf>
    <xf numFmtId="0" fontId="136" fillId="0" borderId="0" xfId="3" applyFont="1" applyAlignment="1">
      <alignment vertical="center" wrapText="1"/>
    </xf>
    <xf numFmtId="49" fontId="136" fillId="0" borderId="0" xfId="3" applyNumberFormat="1" applyFont="1" applyAlignment="1">
      <alignment vertical="center" wrapText="1"/>
    </xf>
    <xf numFmtId="164" fontId="136" fillId="0" borderId="0" xfId="3" applyNumberFormat="1" applyFont="1" applyAlignment="1">
      <alignment vertical="center" wrapText="1"/>
    </xf>
    <xf numFmtId="164" fontId="1" fillId="0" borderId="0" xfId="3" applyNumberFormat="1" applyFont="1" applyAlignment="1">
      <alignment vertical="center" wrapText="1"/>
    </xf>
    <xf numFmtId="164" fontId="12" fillId="0" borderId="0" xfId="3" applyNumberFormat="1" applyFont="1" applyFill="1" applyBorder="1" applyAlignment="1">
      <alignment horizontal="center" vertical="center" wrapText="1"/>
    </xf>
    <xf numFmtId="164" fontId="136" fillId="0" borderId="45" xfId="3" applyNumberFormat="1" applyFont="1" applyBorder="1" applyAlignment="1">
      <alignment vertical="center" wrapText="1"/>
    </xf>
    <xf numFmtId="164" fontId="136" fillId="0" borderId="0" xfId="3" applyNumberFormat="1" applyFont="1" applyBorder="1" applyAlignment="1">
      <alignment vertical="center" wrapText="1"/>
    </xf>
    <xf numFmtId="165" fontId="137" fillId="0" borderId="0" xfId="3" applyNumberFormat="1" applyFont="1" applyBorder="1" applyAlignment="1">
      <alignment vertical="center" wrapText="1"/>
    </xf>
    <xf numFmtId="164" fontId="1" fillId="0" borderId="0" xfId="3" applyNumberFormat="1" applyFont="1" applyBorder="1" applyAlignment="1">
      <alignment vertical="center" wrapText="1"/>
    </xf>
    <xf numFmtId="9" fontId="136" fillId="0" borderId="0" xfId="2" applyFont="1" applyBorder="1" applyAlignment="1">
      <alignment vertical="center" wrapText="1"/>
    </xf>
    <xf numFmtId="9" fontId="137" fillId="0" borderId="0" xfId="2" applyFont="1" applyBorder="1" applyAlignment="1">
      <alignment vertical="center" wrapText="1"/>
    </xf>
    <xf numFmtId="9" fontId="1" fillId="0" borderId="0" xfId="2" applyFont="1" applyBorder="1" applyAlignment="1">
      <alignment vertical="center" wrapText="1"/>
    </xf>
    <xf numFmtId="9" fontId="138" fillId="0" borderId="0" xfId="2" applyFont="1" applyBorder="1" applyAlignment="1">
      <alignment vertical="center" wrapText="1"/>
    </xf>
    <xf numFmtId="49" fontId="43" fillId="0" borderId="0" xfId="3" applyNumberFormat="1" applyFont="1" applyAlignment="1">
      <alignment horizontal="left"/>
    </xf>
    <xf numFmtId="49" fontId="43" fillId="0" borderId="45" xfId="3" applyNumberFormat="1" applyFont="1" applyBorder="1" applyAlignment="1">
      <alignment horizontal="right"/>
    </xf>
    <xf numFmtId="164" fontId="43" fillId="0" borderId="0" xfId="3" applyNumberFormat="1" applyFont="1" applyBorder="1" applyAlignment="1">
      <alignment horizontal="left"/>
    </xf>
    <xf numFmtId="49" fontId="43" fillId="0" borderId="0" xfId="3" applyNumberFormat="1" applyFont="1" applyBorder="1" applyAlignment="1">
      <alignment horizontal="left"/>
    </xf>
    <xf numFmtId="164" fontId="52" fillId="0" borderId="0" xfId="3" applyNumberFormat="1" applyFont="1" applyBorder="1"/>
    <xf numFmtId="165" fontId="52" fillId="0" borderId="0" xfId="3" applyNumberFormat="1" applyFont="1" applyBorder="1"/>
    <xf numFmtId="165" fontId="52" fillId="0" borderId="0" xfId="4" applyNumberFormat="1" applyFont="1" applyBorder="1"/>
    <xf numFmtId="9" fontId="52" fillId="0" borderId="0" xfId="2" applyFont="1" applyBorder="1"/>
    <xf numFmtId="9" fontId="5" fillId="0" borderId="0" xfId="2" applyFont="1" applyBorder="1"/>
    <xf numFmtId="9" fontId="140" fillId="0" borderId="0" xfId="2" applyFont="1" applyBorder="1"/>
    <xf numFmtId="0" fontId="52" fillId="0" borderId="0" xfId="3" applyFont="1"/>
    <xf numFmtId="49" fontId="141" fillId="0" borderId="47" xfId="3" applyNumberFormat="1" applyFont="1" applyBorder="1" applyAlignment="1">
      <alignment horizontal="center" vertical="center" wrapText="1"/>
    </xf>
    <xf numFmtId="0" fontId="141" fillId="0" borderId="5" xfId="3" applyFont="1" applyBorder="1" applyAlignment="1">
      <alignment horizontal="center" vertical="center" wrapText="1"/>
    </xf>
    <xf numFmtId="49" fontId="141" fillId="0" borderId="34" xfId="3" applyNumberFormat="1" applyFont="1" applyBorder="1" applyAlignment="1">
      <alignment vertical="center" wrapText="1"/>
    </xf>
    <xf numFmtId="164" fontId="141" fillId="0" borderId="34" xfId="3" applyNumberFormat="1" applyFont="1" applyBorder="1" applyAlignment="1">
      <alignment vertical="center" wrapText="1"/>
    </xf>
    <xf numFmtId="0" fontId="141" fillId="0" borderId="48" xfId="3" applyFont="1" applyBorder="1" applyAlignment="1">
      <alignment horizontal="center" vertical="center" wrapText="1"/>
    </xf>
    <xf numFmtId="164" fontId="138" fillId="0" borderId="0" xfId="3" applyNumberFormat="1" applyFont="1" applyBorder="1" applyAlignment="1">
      <alignment horizontal="left" vertical="center" wrapText="1"/>
    </xf>
    <xf numFmtId="9" fontId="138" fillId="0" borderId="0" xfId="2" applyFont="1" applyBorder="1" applyAlignment="1">
      <alignment horizontal="left" vertical="center" wrapText="1"/>
    </xf>
    <xf numFmtId="9" fontId="142" fillId="0" borderId="0" xfId="2" applyFont="1" applyBorder="1" applyAlignment="1">
      <alignment vertical="center" wrapText="1"/>
    </xf>
    <xf numFmtId="0" fontId="142" fillId="0" borderId="0" xfId="3" applyFont="1" applyAlignment="1">
      <alignment vertical="center" wrapText="1"/>
    </xf>
    <xf numFmtId="49" fontId="141" fillId="0" borderId="35" xfId="3" applyNumberFormat="1" applyFont="1" applyBorder="1" applyAlignment="1">
      <alignment horizontal="center" vertical="center" wrapText="1"/>
    </xf>
    <xf numFmtId="0" fontId="141" fillId="0" borderId="25" xfId="3" applyFont="1" applyBorder="1" applyAlignment="1">
      <alignment horizontal="center" vertical="center" wrapText="1"/>
    </xf>
    <xf numFmtId="49" fontId="141" fillId="0" borderId="29" xfId="3" applyNumberFormat="1" applyFont="1" applyBorder="1" applyAlignment="1">
      <alignment vertical="center" wrapText="1"/>
    </xf>
    <xf numFmtId="164" fontId="141" fillId="0" borderId="29" xfId="3" applyNumberFormat="1" applyFont="1" applyBorder="1" applyAlignment="1">
      <alignment vertical="center" wrapText="1"/>
    </xf>
    <xf numFmtId="0" fontId="141" fillId="0" borderId="43" xfId="3" applyFont="1" applyBorder="1" applyAlignment="1">
      <alignment horizontal="center" vertical="center" wrapText="1"/>
    </xf>
    <xf numFmtId="166" fontId="143" fillId="0" borderId="36" xfId="3" applyNumberFormat="1" applyFont="1" applyBorder="1" applyAlignment="1">
      <alignment horizontal="center" vertical="center" wrapText="1"/>
    </xf>
    <xf numFmtId="166" fontId="143" fillId="0" borderId="15" xfId="3" applyNumberFormat="1" applyFont="1" applyBorder="1" applyAlignment="1">
      <alignment horizontal="center" vertical="center" wrapText="1"/>
    </xf>
    <xf numFmtId="49" fontId="131" fillId="0" borderId="0" xfId="3" applyNumberFormat="1" applyFont="1" applyBorder="1" applyAlignment="1">
      <alignment horizontal="center" vertical="center" wrapText="1"/>
    </xf>
    <xf numFmtId="164" fontId="131" fillId="0" borderId="0" xfId="3" applyNumberFormat="1" applyFont="1" applyBorder="1" applyAlignment="1">
      <alignment horizontal="center" vertical="center" wrapText="1"/>
    </xf>
    <xf numFmtId="165" fontId="143" fillId="0" borderId="45" xfId="3" applyNumberFormat="1" applyFont="1" applyBorder="1" applyAlignment="1">
      <alignment horizontal="center" vertical="center" wrapText="1"/>
    </xf>
    <xf numFmtId="164" fontId="132" fillId="0" borderId="0" xfId="3" applyNumberFormat="1" applyFont="1" applyBorder="1" applyAlignment="1">
      <alignment horizontal="left" vertical="center" wrapText="1"/>
    </xf>
    <xf numFmtId="9" fontId="132" fillId="0" borderId="0" xfId="2" applyFont="1" applyBorder="1" applyAlignment="1">
      <alignment horizontal="left" vertical="center" wrapText="1"/>
    </xf>
    <xf numFmtId="9" fontId="144" fillId="0" borderId="0" xfId="2" applyFont="1" applyBorder="1" applyAlignment="1">
      <alignment vertical="center" wrapText="1"/>
    </xf>
    <xf numFmtId="0" fontId="144" fillId="0" borderId="0" xfId="3" applyFont="1" applyAlignment="1">
      <alignment vertical="center" wrapText="1"/>
    </xf>
    <xf numFmtId="49" fontId="43" fillId="0" borderId="35" xfId="3" applyNumberFormat="1" applyFont="1" applyBorder="1" applyAlignment="1">
      <alignment horizontal="center" vertical="center" wrapText="1"/>
    </xf>
    <xf numFmtId="0" fontId="43" fillId="0" borderId="25" xfId="3" applyFont="1" applyBorder="1" applyAlignment="1">
      <alignment horizontal="center" vertical="center" wrapText="1"/>
    </xf>
    <xf numFmtId="49" fontId="43" fillId="0" borderId="25" xfId="3" applyNumberFormat="1" applyFont="1" applyBorder="1" applyAlignment="1">
      <alignment vertical="center" wrapText="1"/>
    </xf>
    <xf numFmtId="164" fontId="43" fillId="0" borderId="25" xfId="3" applyNumberFormat="1" applyFont="1" applyBorder="1" applyAlignment="1">
      <alignment vertical="center" wrapText="1"/>
    </xf>
    <xf numFmtId="164" fontId="43" fillId="0" borderId="26" xfId="3" applyNumberFormat="1" applyFont="1" applyBorder="1" applyAlignment="1">
      <alignment vertical="center" wrapText="1"/>
    </xf>
    <xf numFmtId="0" fontId="43" fillId="0" borderId="43" xfId="3" applyFont="1" applyBorder="1" applyAlignment="1">
      <alignment horizontal="center" vertical="center" wrapText="1"/>
    </xf>
    <xf numFmtId="9" fontId="142" fillId="0" borderId="0" xfId="2" applyFont="1" applyBorder="1" applyAlignment="1">
      <alignment horizontal="center" vertical="center" wrapText="1"/>
    </xf>
    <xf numFmtId="166" fontId="143" fillId="0" borderId="40" xfId="3" applyNumberFormat="1" applyFont="1" applyBorder="1" applyAlignment="1">
      <alignment horizontal="center" vertical="center" wrapText="1"/>
    </xf>
    <xf numFmtId="166" fontId="143" fillId="0" borderId="20" xfId="3" applyNumberFormat="1" applyFont="1" applyBorder="1" applyAlignment="1">
      <alignment horizontal="center" vertical="center" wrapText="1"/>
    </xf>
    <xf numFmtId="166" fontId="131" fillId="0" borderId="46" xfId="3" applyNumberFormat="1" applyFont="1" applyBorder="1" applyAlignment="1">
      <alignment horizontal="center" vertical="center" wrapText="1"/>
    </xf>
    <xf numFmtId="9" fontId="143" fillId="0" borderId="49" xfId="2" applyFont="1" applyBorder="1" applyAlignment="1">
      <alignment horizontal="center" vertical="center" wrapText="1"/>
    </xf>
    <xf numFmtId="9" fontId="1" fillId="0" borderId="0" xfId="2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164" fontId="5" fillId="0" borderId="45" xfId="3" applyNumberFormat="1" applyFont="1" applyBorder="1"/>
    <xf numFmtId="164" fontId="1" fillId="0" borderId="0" xfId="3" applyNumberFormat="1" applyBorder="1"/>
    <xf numFmtId="44" fontId="1" fillId="0" borderId="0" xfId="1" applyFont="1" applyBorder="1"/>
    <xf numFmtId="9" fontId="1" fillId="0" borderId="0" xfId="2" applyFont="1" applyBorder="1"/>
    <xf numFmtId="9" fontId="6" fillId="0" borderId="0" xfId="2" applyFont="1" applyBorder="1"/>
    <xf numFmtId="49" fontId="18" fillId="0" borderId="0" xfId="3" applyNumberFormat="1" applyFont="1"/>
    <xf numFmtId="164" fontId="18" fillId="0" borderId="0" xfId="3" applyNumberFormat="1" applyFont="1"/>
    <xf numFmtId="9" fontId="43" fillId="0" borderId="0" xfId="2" applyFont="1" applyBorder="1" applyAlignment="1">
      <alignment horizontal="right"/>
    </xf>
    <xf numFmtId="164" fontId="145" fillId="0" borderId="0" xfId="3" applyNumberFormat="1" applyFont="1" applyFill="1" applyBorder="1" applyAlignment="1">
      <alignment horizontal="center" vertical="center" wrapText="1"/>
    </xf>
    <xf numFmtId="165" fontId="6" fillId="0" borderId="0" xfId="3" applyNumberFormat="1" applyFont="1" applyBorder="1"/>
    <xf numFmtId="49" fontId="141" fillId="0" borderId="0" xfId="3" applyNumberFormat="1" applyFont="1" applyBorder="1" applyAlignment="1">
      <alignment horizontal="center" vertical="center" wrapText="1"/>
    </xf>
    <xf numFmtId="0" fontId="141" fillId="0" borderId="0" xfId="3" applyFont="1" applyBorder="1" applyAlignment="1">
      <alignment horizontal="center" vertical="center" wrapText="1"/>
    </xf>
    <xf numFmtId="49" fontId="141" fillId="0" borderId="0" xfId="3" applyNumberFormat="1" applyFont="1" applyBorder="1" applyAlignment="1">
      <alignment vertical="center" wrapText="1"/>
    </xf>
    <xf numFmtId="164" fontId="141" fillId="0" borderId="0" xfId="3" applyNumberFormat="1" applyFont="1" applyBorder="1" applyAlignment="1">
      <alignment vertical="center" wrapText="1"/>
    </xf>
    <xf numFmtId="0" fontId="141" fillId="0" borderId="45" xfId="3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6" fontId="143" fillId="0" borderId="0" xfId="3" applyNumberFormat="1" applyFont="1" applyBorder="1" applyAlignment="1">
      <alignment horizontal="center" vertical="center" wrapText="1"/>
    </xf>
    <xf numFmtId="49" fontId="5" fillId="0" borderId="0" xfId="3" applyNumberFormat="1" applyFont="1" applyAlignment="1">
      <alignment horizontal="center"/>
    </xf>
    <xf numFmtId="166" fontId="33" fillId="0" borderId="0" xfId="3" applyNumberFormat="1" applyFont="1" applyFill="1"/>
    <xf numFmtId="9" fontId="17" fillId="0" borderId="14" xfId="2" applyFont="1" applyFill="1" applyBorder="1" applyAlignment="1">
      <alignment horizontal="center" vertical="center" wrapText="1"/>
    </xf>
    <xf numFmtId="166" fontId="58" fillId="0" borderId="14" xfId="4" applyNumberFormat="1" applyFont="1" applyFill="1" applyBorder="1" applyAlignment="1">
      <alignment horizontal="center" vertical="center" wrapText="1"/>
    </xf>
    <xf numFmtId="0" fontId="52" fillId="0" borderId="14" xfId="3" applyFont="1" applyBorder="1"/>
    <xf numFmtId="0" fontId="52" fillId="0" borderId="17" xfId="3" applyFont="1" applyBorder="1"/>
    <xf numFmtId="9" fontId="26" fillId="0" borderId="20" xfId="2" applyFont="1" applyFill="1" applyBorder="1" applyAlignment="1">
      <alignment horizontal="center" vertical="center" wrapText="1"/>
    </xf>
    <xf numFmtId="166" fontId="27" fillId="0" borderId="20" xfId="4" applyNumberFormat="1" applyFont="1" applyFill="1" applyBorder="1" applyAlignment="1">
      <alignment horizontal="center" vertical="center" wrapText="1"/>
    </xf>
    <xf numFmtId="164" fontId="85" fillId="0" borderId="20" xfId="3" applyNumberFormat="1" applyFont="1" applyBorder="1"/>
    <xf numFmtId="164" fontId="85" fillId="0" borderId="31" xfId="3" applyNumberFormat="1" applyFont="1" applyBorder="1"/>
    <xf numFmtId="166" fontId="1" fillId="0" borderId="0" xfId="3" applyNumberFormat="1" applyFont="1"/>
    <xf numFmtId="0" fontId="139" fillId="0" borderId="0" xfId="3" applyFont="1" applyBorder="1" applyAlignment="1">
      <alignment horizontal="center" vertical="center" wrapText="1"/>
    </xf>
    <xf numFmtId="0" fontId="141" fillId="0" borderId="0" xfId="3" applyFont="1" applyBorder="1" applyAlignment="1">
      <alignment horizontal="center" vertical="center" wrapText="1"/>
    </xf>
    <xf numFmtId="164" fontId="0" fillId="0" borderId="0" xfId="3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24" fillId="0" borderId="0" xfId="0" applyFont="1" applyBorder="1" applyAlignment="1">
      <alignment horizontal="center" vertical="center" wrapText="1"/>
    </xf>
    <xf numFmtId="0" fontId="134" fillId="0" borderId="0" xfId="0" applyFont="1" applyBorder="1" applyAlignment="1">
      <alignment horizontal="center" vertical="center" wrapText="1"/>
    </xf>
    <xf numFmtId="166" fontId="124" fillId="0" borderId="0" xfId="0" applyNumberFormat="1" applyFont="1" applyBorder="1" applyAlignment="1">
      <alignment horizontal="center" vertical="center" wrapText="1"/>
    </xf>
    <xf numFmtId="166" fontId="134" fillId="0" borderId="0" xfId="0" applyNumberFormat="1" applyFont="1" applyBorder="1" applyAlignment="1">
      <alignment horizontal="center" vertical="center" wrapText="1"/>
    </xf>
    <xf numFmtId="0" fontId="139" fillId="0" borderId="46" xfId="3" applyFont="1" applyBorder="1" applyAlignment="1">
      <alignment horizontal="center" vertical="center" wrapText="1"/>
    </xf>
    <xf numFmtId="9" fontId="43" fillId="0" borderId="0" xfId="2" applyFont="1" applyBorder="1" applyAlignment="1">
      <alignment horizontal="center"/>
    </xf>
    <xf numFmtId="9" fontId="142" fillId="0" borderId="0" xfId="2" applyFont="1" applyBorder="1" applyAlignment="1">
      <alignment horizontal="center" vertical="center" wrapText="1"/>
    </xf>
    <xf numFmtId="9" fontId="138" fillId="0" borderId="0" xfId="2" applyFont="1" applyBorder="1" applyAlignment="1">
      <alignment horizontal="left" vertical="center" wrapText="1"/>
    </xf>
    <xf numFmtId="167" fontId="113" fillId="0" borderId="12" xfId="3" applyNumberFormat="1" applyFont="1" applyFill="1" applyBorder="1" applyAlignment="1">
      <alignment horizontal="center" vertical="center" wrapText="1"/>
    </xf>
    <xf numFmtId="167" fontId="113" fillId="0" borderId="13" xfId="3" applyNumberFormat="1" applyFont="1" applyFill="1" applyBorder="1" applyAlignment="1">
      <alignment horizontal="center" vertical="center" wrapText="1"/>
    </xf>
    <xf numFmtId="167" fontId="103" fillId="0" borderId="35" xfId="3" applyNumberFormat="1" applyFont="1" applyFill="1" applyBorder="1" applyAlignment="1">
      <alignment horizontal="center" vertical="center" wrapText="1"/>
    </xf>
    <xf numFmtId="167" fontId="103" fillId="0" borderId="25" xfId="3" applyNumberFormat="1" applyFont="1" applyFill="1" applyBorder="1" applyAlignment="1">
      <alignment horizontal="center" vertical="center" wrapText="1"/>
    </xf>
    <xf numFmtId="49" fontId="123" fillId="0" borderId="0" xfId="3" applyNumberFormat="1" applyFont="1" applyAlignment="1">
      <alignment horizontal="center"/>
    </xf>
    <xf numFmtId="49" fontId="4" fillId="0" borderId="0" xfId="3" applyNumberFormat="1" applyFont="1" applyAlignment="1">
      <alignment horizontal="left"/>
    </xf>
    <xf numFmtId="0" fontId="30" fillId="0" borderId="42" xfId="3" applyFont="1" applyBorder="1" applyAlignment="1">
      <alignment horizontal="center" vertical="center" wrapText="1"/>
    </xf>
    <xf numFmtId="0" fontId="30" fillId="0" borderId="38" xfId="3" applyFont="1" applyBorder="1" applyAlignment="1">
      <alignment horizontal="center" vertical="center" wrapText="1"/>
    </xf>
    <xf numFmtId="0" fontId="30" fillId="0" borderId="21" xfId="3" applyFont="1" applyBorder="1" applyAlignment="1">
      <alignment horizontal="center" vertical="center" wrapText="1"/>
    </xf>
    <xf numFmtId="167" fontId="26" fillId="0" borderId="35" xfId="3" applyNumberFormat="1" applyFont="1" applyFill="1" applyBorder="1" applyAlignment="1">
      <alignment horizontal="center" vertical="center" wrapText="1"/>
    </xf>
    <xf numFmtId="167" fontId="26" fillId="0" borderId="25" xfId="3" applyNumberFormat="1" applyFont="1" applyFill="1" applyBorder="1" applyAlignment="1">
      <alignment horizontal="center" vertical="center" wrapText="1"/>
    </xf>
    <xf numFmtId="167" fontId="7" fillId="0" borderId="12" xfId="0" applyNumberFormat="1" applyFont="1" applyFill="1" applyBorder="1" applyAlignment="1">
      <alignment horizontal="center" vertical="center" wrapText="1"/>
    </xf>
    <xf numFmtId="167" fontId="7" fillId="0" borderId="13" xfId="0" applyNumberFormat="1" applyFont="1" applyFill="1" applyBorder="1" applyAlignment="1">
      <alignment horizontal="center" vertical="center" wrapText="1"/>
    </xf>
    <xf numFmtId="167" fontId="107" fillId="0" borderId="35" xfId="3" applyNumberFormat="1" applyFont="1" applyFill="1" applyBorder="1" applyAlignment="1">
      <alignment horizontal="center" vertical="center" wrapText="1"/>
    </xf>
    <xf numFmtId="167" fontId="107" fillId="0" borderId="25" xfId="3" applyNumberFormat="1" applyFont="1" applyFill="1" applyBorder="1" applyAlignment="1">
      <alignment horizontal="center" vertical="center" wrapText="1"/>
    </xf>
    <xf numFmtId="167" fontId="104" fillId="0" borderId="28" xfId="3" applyNumberFormat="1" applyFont="1" applyFill="1" applyBorder="1" applyAlignment="1">
      <alignment horizontal="center" vertical="center" wrapText="1"/>
    </xf>
    <xf numFmtId="167" fontId="104" fillId="0" borderId="14" xfId="3" applyNumberFormat="1" applyFont="1" applyFill="1" applyBorder="1" applyAlignment="1">
      <alignment horizontal="center" vertical="center" wrapText="1"/>
    </xf>
    <xf numFmtId="167" fontId="55" fillId="0" borderId="12" xfId="3" applyNumberFormat="1" applyFont="1" applyFill="1" applyBorder="1" applyAlignment="1">
      <alignment horizontal="center" vertical="center" wrapText="1"/>
    </xf>
    <xf numFmtId="167" fontId="55" fillId="0" borderId="13" xfId="3" applyNumberFormat="1" applyFont="1" applyFill="1" applyBorder="1" applyAlignment="1">
      <alignment horizontal="center" vertical="center" wrapText="1"/>
    </xf>
    <xf numFmtId="167" fontId="53" fillId="0" borderId="12" xfId="3" applyNumberFormat="1" applyFont="1" applyFill="1" applyBorder="1" applyAlignment="1">
      <alignment horizontal="center" vertical="center" wrapText="1"/>
    </xf>
    <xf numFmtId="167" fontId="53" fillId="0" borderId="13" xfId="3" applyNumberFormat="1" applyFont="1" applyFill="1" applyBorder="1" applyAlignment="1">
      <alignment horizontal="center" vertical="center" wrapText="1"/>
    </xf>
    <xf numFmtId="164" fontId="92" fillId="0" borderId="19" xfId="3" applyNumberFormat="1" applyFont="1" applyFill="1" applyBorder="1" applyAlignment="1">
      <alignment horizontal="left" vertical="center" wrapText="1"/>
    </xf>
    <xf numFmtId="164" fontId="92" fillId="0" borderId="15" xfId="3" applyNumberFormat="1" applyFont="1" applyFill="1" applyBorder="1" applyAlignment="1">
      <alignment horizontal="left" vertical="center" wrapText="1"/>
    </xf>
    <xf numFmtId="164" fontId="92" fillId="0" borderId="14" xfId="3" applyNumberFormat="1" applyFont="1" applyFill="1" applyBorder="1" applyAlignment="1">
      <alignment horizontal="left" vertical="center" wrapText="1"/>
    </xf>
    <xf numFmtId="167" fontId="14" fillId="0" borderId="12" xfId="3" applyNumberFormat="1" applyFont="1" applyFill="1" applyBorder="1" applyAlignment="1">
      <alignment horizontal="center"/>
    </xf>
    <xf numFmtId="167" fontId="14" fillId="0" borderId="13" xfId="3" applyNumberFormat="1" applyFont="1" applyFill="1" applyBorder="1" applyAlignment="1">
      <alignment horizontal="center"/>
    </xf>
    <xf numFmtId="167" fontId="14" fillId="0" borderId="14" xfId="3" applyNumberFormat="1" applyFont="1" applyFill="1" applyBorder="1" applyAlignment="1">
      <alignment horizontal="center"/>
    </xf>
    <xf numFmtId="167" fontId="34" fillId="0" borderId="28" xfId="3" applyNumberFormat="1" applyFont="1" applyFill="1" applyBorder="1" applyAlignment="1">
      <alignment horizontal="center" vertical="center" wrapText="1"/>
    </xf>
    <xf numFmtId="167" fontId="34" fillId="0" borderId="14" xfId="3" applyNumberFormat="1" applyFont="1" applyFill="1" applyBorder="1" applyAlignment="1">
      <alignment horizontal="center" vertical="center" wrapText="1"/>
    </xf>
    <xf numFmtId="167" fontId="14" fillId="0" borderId="12" xfId="3" applyNumberFormat="1" applyFont="1" applyFill="1" applyBorder="1" applyAlignment="1">
      <alignment horizontal="center" vertical="center" wrapText="1"/>
    </xf>
    <xf numFmtId="167" fontId="14" fillId="0" borderId="13" xfId="3" applyNumberFormat="1" applyFont="1" applyFill="1" applyBorder="1" applyAlignment="1">
      <alignment horizontal="center" vertical="center" wrapText="1"/>
    </xf>
    <xf numFmtId="167" fontId="30" fillId="0" borderId="12" xfId="3" applyNumberFormat="1" applyFont="1" applyFill="1" applyBorder="1" applyAlignment="1">
      <alignment horizontal="center" vertical="center" wrapText="1"/>
    </xf>
    <xf numFmtId="167" fontId="30" fillId="0" borderId="13" xfId="3" applyNumberFormat="1" applyFont="1" applyFill="1" applyBorder="1" applyAlignment="1">
      <alignment horizontal="center" vertical="center" wrapText="1"/>
    </xf>
    <xf numFmtId="167" fontId="14" fillId="0" borderId="12" xfId="3" applyNumberFormat="1" applyFont="1" applyFill="1" applyBorder="1" applyAlignment="1">
      <alignment horizontal="left"/>
    </xf>
    <xf numFmtId="167" fontId="14" fillId="0" borderId="13" xfId="3" applyNumberFormat="1" applyFont="1" applyFill="1" applyBorder="1" applyAlignment="1">
      <alignment horizontal="left"/>
    </xf>
    <xf numFmtId="164" fontId="30" fillId="0" borderId="35" xfId="3" applyNumberFormat="1" applyFont="1" applyFill="1" applyBorder="1" applyAlignment="1">
      <alignment horizontal="center" vertical="center" wrapText="1"/>
    </xf>
    <xf numFmtId="164" fontId="30" fillId="0" borderId="25" xfId="3" applyNumberFormat="1" applyFont="1" applyFill="1" applyBorder="1" applyAlignment="1">
      <alignment horizontal="center" vertical="center" wrapText="1"/>
    </xf>
    <xf numFmtId="164" fontId="34" fillId="3" borderId="28" xfId="3" applyNumberFormat="1" applyFont="1" applyFill="1" applyBorder="1" applyAlignment="1">
      <alignment horizontal="center" vertical="center" wrapText="1"/>
    </xf>
    <xf numFmtId="164" fontId="34" fillId="3" borderId="14" xfId="3" applyNumberFormat="1" applyFont="1" applyFill="1" applyBorder="1" applyAlignment="1">
      <alignment horizontal="center" vertical="center" wrapText="1"/>
    </xf>
    <xf numFmtId="164" fontId="14" fillId="3" borderId="12" xfId="3" applyNumberFormat="1" applyFont="1" applyFill="1" applyBorder="1" applyAlignment="1">
      <alignment horizontal="center" vertical="center" wrapText="1"/>
    </xf>
    <xf numFmtId="164" fontId="14" fillId="3" borderId="13" xfId="3" applyNumberFormat="1" applyFont="1" applyFill="1" applyBorder="1" applyAlignment="1">
      <alignment horizontal="center" vertical="center" wrapText="1"/>
    </xf>
    <xf numFmtId="0" fontId="30" fillId="0" borderId="42" xfId="3" applyFont="1" applyFill="1" applyBorder="1" applyAlignment="1">
      <alignment horizontal="center" vertical="center" wrapText="1"/>
    </xf>
    <xf numFmtId="0" fontId="30" fillId="0" borderId="38" xfId="3" applyFont="1" applyFill="1" applyBorder="1" applyAlignment="1">
      <alignment horizontal="center" vertical="center" wrapText="1"/>
    </xf>
    <xf numFmtId="0" fontId="30" fillId="0" borderId="21" xfId="3" applyFont="1" applyFill="1" applyBorder="1" applyAlignment="1">
      <alignment horizontal="center" vertical="center" wrapText="1"/>
    </xf>
    <xf numFmtId="164" fontId="56" fillId="3" borderId="13" xfId="3" applyNumberFormat="1" applyFont="1" applyFill="1" applyBorder="1" applyAlignment="1">
      <alignment horizontal="center" vertical="center" wrapText="1"/>
    </xf>
    <xf numFmtId="164" fontId="81" fillId="0" borderId="35" xfId="3" applyNumberFormat="1" applyFont="1" applyFill="1" applyBorder="1" applyAlignment="1">
      <alignment horizontal="center" vertical="center" wrapText="1"/>
    </xf>
    <xf numFmtId="164" fontId="81" fillId="0" borderId="25" xfId="3" applyNumberFormat="1" applyFont="1" applyFill="1" applyBorder="1" applyAlignment="1">
      <alignment horizontal="center" vertical="center" wrapText="1"/>
    </xf>
    <xf numFmtId="164" fontId="14" fillId="3" borderId="35" xfId="3" applyNumberFormat="1" applyFont="1" applyFill="1" applyBorder="1" applyAlignment="1">
      <alignment horizontal="center" vertical="center" wrapText="1"/>
    </xf>
    <xf numFmtId="164" fontId="14" fillId="3" borderId="25" xfId="3" applyNumberFormat="1" applyFont="1" applyFill="1" applyBorder="1" applyAlignment="1">
      <alignment horizontal="center" vertical="center" wrapText="1"/>
    </xf>
    <xf numFmtId="0" fontId="30" fillId="0" borderId="40" xfId="3" applyFont="1" applyFill="1" applyBorder="1" applyAlignment="1">
      <alignment horizontal="center" vertical="center" wrapText="1"/>
    </xf>
    <xf numFmtId="0" fontId="30" fillId="0" borderId="20" xfId="3" applyFont="1" applyFill="1" applyBorder="1" applyAlignment="1">
      <alignment horizontal="center" vertical="center" wrapText="1"/>
    </xf>
    <xf numFmtId="164" fontId="92" fillId="0" borderId="19" xfId="3" applyNumberFormat="1" applyFont="1" applyFill="1" applyBorder="1" applyAlignment="1">
      <alignment horizontal="center" vertical="center" wrapText="1"/>
    </xf>
    <xf numFmtId="164" fontId="92" fillId="0" borderId="14" xfId="3" applyNumberFormat="1" applyFont="1" applyFill="1" applyBorder="1" applyAlignment="1">
      <alignment horizontal="center" vertical="center" wrapText="1"/>
    </xf>
    <xf numFmtId="164" fontId="56" fillId="0" borderId="13" xfId="3" applyNumberFormat="1" applyFont="1" applyFill="1" applyBorder="1" applyAlignment="1">
      <alignment horizontal="center" vertical="center" wrapText="1"/>
    </xf>
    <xf numFmtId="164" fontId="17" fillId="0" borderId="19" xfId="3" applyNumberFormat="1" applyFont="1" applyFill="1" applyBorder="1" applyAlignment="1">
      <alignment horizontal="center" vertical="center" wrapText="1"/>
    </xf>
    <xf numFmtId="164" fontId="17" fillId="0" borderId="15" xfId="3" applyNumberFormat="1" applyFont="1" applyFill="1" applyBorder="1" applyAlignment="1">
      <alignment horizontal="center" vertical="center" wrapText="1"/>
    </xf>
    <xf numFmtId="164" fontId="17" fillId="0" borderId="14" xfId="3" applyNumberFormat="1" applyFont="1" applyFill="1" applyBorder="1" applyAlignment="1">
      <alignment horizontal="center" vertical="center" wrapText="1"/>
    </xf>
    <xf numFmtId="164" fontId="17" fillId="0" borderId="13" xfId="3" applyNumberFormat="1" applyFont="1" applyFill="1" applyBorder="1" applyAlignment="1">
      <alignment horizontal="left" vertical="center" wrapText="1"/>
    </xf>
    <xf numFmtId="164" fontId="56" fillId="3" borderId="19" xfId="3" applyNumberFormat="1" applyFont="1" applyFill="1" applyBorder="1" applyAlignment="1">
      <alignment horizontal="center" vertical="center" wrapText="1"/>
    </xf>
    <xf numFmtId="164" fontId="56" fillId="3" borderId="14" xfId="3" applyNumberFormat="1" applyFont="1" applyFill="1" applyBorder="1" applyAlignment="1">
      <alignment horizontal="center" vertical="center" wrapText="1"/>
    </xf>
    <xf numFmtId="164" fontId="17" fillId="2" borderId="19" xfId="3" applyNumberFormat="1" applyFont="1" applyFill="1" applyBorder="1" applyAlignment="1">
      <alignment horizontal="left" vertical="center" wrapText="1"/>
    </xf>
    <xf numFmtId="164" fontId="17" fillId="2" borderId="15" xfId="3" applyNumberFormat="1" applyFont="1" applyFill="1" applyBorder="1" applyAlignment="1">
      <alignment horizontal="left" vertical="center" wrapText="1"/>
    </xf>
    <xf numFmtId="164" fontId="17" fillId="2" borderId="14" xfId="3" applyNumberFormat="1" applyFont="1" applyFill="1" applyBorder="1" applyAlignment="1">
      <alignment horizontal="left" vertical="center" wrapText="1"/>
    </xf>
    <xf numFmtId="164" fontId="30" fillId="0" borderId="23" xfId="3" applyNumberFormat="1" applyFont="1" applyFill="1" applyBorder="1" applyAlignment="1">
      <alignment horizontal="center" vertical="center" wrapText="1"/>
    </xf>
    <xf numFmtId="164" fontId="30" fillId="0" borderId="24" xfId="3" applyNumberFormat="1" applyFont="1" applyFill="1" applyBorder="1" applyAlignment="1">
      <alignment horizontal="center" vertical="center" wrapText="1"/>
    </xf>
    <xf numFmtId="164" fontId="26" fillId="0" borderId="23" xfId="3" applyNumberFormat="1" applyFont="1" applyFill="1" applyBorder="1" applyAlignment="1">
      <alignment horizontal="center" vertical="center" wrapText="1"/>
    </xf>
    <xf numFmtId="164" fontId="26" fillId="0" borderId="24" xfId="3" applyNumberFormat="1" applyFont="1" applyFill="1" applyBorder="1" applyAlignment="1">
      <alignment horizontal="center" vertical="center" wrapText="1"/>
    </xf>
    <xf numFmtId="0" fontId="30" fillId="0" borderId="23" xfId="3" applyFont="1" applyBorder="1" applyAlignment="1">
      <alignment horizontal="center" vertical="center" wrapText="1"/>
    </xf>
    <xf numFmtId="0" fontId="30" fillId="0" borderId="29" xfId="3" applyFont="1" applyBorder="1" applyAlignment="1">
      <alignment horizontal="center" vertical="center" wrapText="1"/>
    </xf>
    <xf numFmtId="0" fontId="30" fillId="0" borderId="33" xfId="3" applyFont="1" applyBorder="1" applyAlignment="1">
      <alignment horizontal="center" vertical="center" wrapText="1"/>
    </xf>
    <xf numFmtId="0" fontId="30" fillId="0" borderId="23" xfId="3" applyFont="1" applyFill="1" applyBorder="1" applyAlignment="1">
      <alignment horizontal="center" vertical="center" wrapText="1"/>
    </xf>
    <xf numFmtId="0" fontId="30" fillId="0" borderId="29" xfId="3" applyFont="1" applyFill="1" applyBorder="1" applyAlignment="1">
      <alignment horizontal="center" vertical="center" wrapText="1"/>
    </xf>
    <xf numFmtId="0" fontId="30" fillId="0" borderId="34" xfId="3" applyFont="1" applyFill="1" applyBorder="1" applyAlignment="1">
      <alignment horizontal="center" vertical="center" wrapText="1"/>
    </xf>
    <xf numFmtId="0" fontId="30" fillId="0" borderId="33" xfId="3" applyFont="1" applyFill="1" applyBorder="1" applyAlignment="1">
      <alignment horizontal="center" vertical="center" wrapText="1"/>
    </xf>
    <xf numFmtId="164" fontId="14" fillId="0" borderId="23" xfId="3" applyNumberFormat="1" applyFont="1" applyFill="1" applyBorder="1" applyAlignment="1">
      <alignment horizontal="center" vertical="center" wrapText="1"/>
    </xf>
    <xf numFmtId="164" fontId="14" fillId="0" borderId="24" xfId="3" applyNumberFormat="1" applyFont="1" applyFill="1" applyBorder="1" applyAlignment="1">
      <alignment horizontal="center" vertical="center" wrapText="1"/>
    </xf>
    <xf numFmtId="167" fontId="20" fillId="0" borderId="28" xfId="0" applyNumberFormat="1" applyFont="1" applyFill="1" applyBorder="1" applyAlignment="1">
      <alignment horizontal="center" vertical="center" wrapText="1"/>
    </xf>
    <xf numFmtId="167" fontId="20" fillId="0" borderId="14" xfId="0" applyNumberFormat="1" applyFont="1" applyFill="1" applyBorder="1" applyAlignment="1">
      <alignment horizontal="center" vertical="center" wrapText="1"/>
    </xf>
    <xf numFmtId="164" fontId="34" fillId="0" borderId="23" xfId="3" applyNumberFormat="1" applyFont="1" applyFill="1" applyBorder="1" applyAlignment="1">
      <alignment horizontal="center" vertical="center" wrapText="1"/>
    </xf>
    <xf numFmtId="164" fontId="34" fillId="0" borderId="24" xfId="3" applyNumberFormat="1" applyFont="1" applyFill="1" applyBorder="1" applyAlignment="1">
      <alignment horizontal="center" vertical="center" wrapText="1"/>
    </xf>
    <xf numFmtId="164" fontId="12" fillId="0" borderId="10" xfId="3" applyNumberFormat="1" applyFont="1" applyFill="1" applyBorder="1" applyAlignment="1">
      <alignment horizontal="center" vertical="center" wrapText="1"/>
    </xf>
    <xf numFmtId="164" fontId="12" fillId="0" borderId="17" xfId="3" applyNumberFormat="1" applyFont="1" applyFill="1" applyBorder="1" applyAlignment="1">
      <alignment horizontal="center" vertical="center" wrapText="1"/>
    </xf>
    <xf numFmtId="164" fontId="12" fillId="0" borderId="15" xfId="3" applyNumberFormat="1" applyFont="1" applyFill="1" applyBorder="1" applyAlignment="1">
      <alignment horizontal="center" vertical="center" wrapText="1"/>
    </xf>
    <xf numFmtId="164" fontId="12" fillId="0" borderId="14" xfId="3" applyNumberFormat="1" applyFont="1" applyFill="1" applyBorder="1" applyAlignment="1">
      <alignment horizontal="center" vertical="center" wrapText="1"/>
    </xf>
    <xf numFmtId="164" fontId="12" fillId="0" borderId="20" xfId="3" applyNumberFormat="1" applyFont="1" applyFill="1" applyBorder="1" applyAlignment="1">
      <alignment horizontal="center" vertical="center" wrapText="1"/>
    </xf>
    <xf numFmtId="164" fontId="12" fillId="2" borderId="6" xfId="3" applyNumberFormat="1" applyFont="1" applyFill="1" applyBorder="1" applyAlignment="1">
      <alignment horizontal="center" vertical="center" wrapText="1"/>
    </xf>
    <xf numFmtId="164" fontId="12" fillId="2" borderId="8" xfId="3" applyNumberFormat="1" applyFont="1" applyFill="1" applyBorder="1" applyAlignment="1">
      <alignment horizontal="center" vertical="center" wrapText="1"/>
    </xf>
    <xf numFmtId="164" fontId="12" fillId="2" borderId="7" xfId="3" applyNumberFormat="1" applyFont="1" applyFill="1" applyBorder="1" applyAlignment="1">
      <alignment horizontal="center" vertical="center" wrapText="1"/>
    </xf>
    <xf numFmtId="164" fontId="12" fillId="0" borderId="5" xfId="3" applyNumberFormat="1" applyFont="1" applyFill="1" applyBorder="1" applyAlignment="1">
      <alignment horizontal="center" vertical="center" wrapText="1"/>
    </xf>
    <xf numFmtId="164" fontId="12" fillId="0" borderId="4" xfId="3" applyNumberFormat="1" applyFont="1" applyFill="1" applyBorder="1" applyAlignment="1">
      <alignment horizontal="center" vertical="center" wrapText="1"/>
    </xf>
    <xf numFmtId="164" fontId="12" fillId="0" borderId="13" xfId="3" applyNumberFormat="1" applyFont="1" applyFill="1" applyBorder="1" applyAlignment="1">
      <alignment horizontal="center" vertical="center" wrapText="1"/>
    </xf>
    <xf numFmtId="164" fontId="12" fillId="0" borderId="9" xfId="3" applyNumberFormat="1" applyFont="1" applyFill="1" applyBorder="1" applyAlignment="1">
      <alignment horizontal="center" vertical="center" wrapText="1"/>
    </xf>
    <xf numFmtId="164" fontId="12" fillId="0" borderId="16" xfId="3" applyNumberFormat="1" applyFont="1" applyFill="1" applyBorder="1" applyAlignment="1">
      <alignment horizontal="center" vertical="center" wrapText="1"/>
    </xf>
    <xf numFmtId="164" fontId="13" fillId="2" borderId="4" xfId="4" applyNumberFormat="1" applyFont="1" applyFill="1" applyBorder="1" applyAlignment="1">
      <alignment horizontal="center" vertical="center" wrapText="1"/>
    </xf>
    <xf numFmtId="164" fontId="13" fillId="2" borderId="13" xfId="4" applyNumberFormat="1" applyFont="1" applyFill="1" applyBorder="1" applyAlignment="1">
      <alignment horizontal="center" vertical="center" wrapText="1"/>
    </xf>
    <xf numFmtId="165" fontId="11" fillId="2" borderId="4" xfId="3" applyNumberFormat="1" applyFont="1" applyFill="1" applyBorder="1" applyAlignment="1">
      <alignment horizontal="center" vertical="center" wrapText="1"/>
    </xf>
    <xf numFmtId="165" fontId="11" fillId="2" borderId="13" xfId="3" applyNumberFormat="1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49" fontId="11" fillId="2" borderId="3" xfId="3" applyNumberFormat="1" applyFont="1" applyFill="1" applyBorder="1" applyAlignment="1">
      <alignment horizontal="center" vertical="center" wrapText="1"/>
    </xf>
    <xf numFmtId="49" fontId="11" fillId="2" borderId="12" xfId="3" applyNumberFormat="1" applyFont="1" applyFill="1" applyBorder="1" applyAlignment="1">
      <alignment horizontal="center" vertical="center" wrapText="1"/>
    </xf>
    <xf numFmtId="0" fontId="12" fillId="2" borderId="4" xfId="3" applyFont="1" applyFill="1" applyBorder="1" applyAlignment="1">
      <alignment horizontal="center" vertical="center" wrapText="1"/>
    </xf>
    <xf numFmtId="0" fontId="12" fillId="2" borderId="13" xfId="3" applyFont="1" applyFill="1" applyBorder="1" applyAlignment="1">
      <alignment horizontal="center" vertical="center" wrapText="1"/>
    </xf>
    <xf numFmtId="49" fontId="11" fillId="2" borderId="5" xfId="3" applyNumberFormat="1" applyFont="1" applyFill="1" applyBorder="1" applyAlignment="1">
      <alignment horizontal="center" vertical="center" wrapText="1"/>
    </xf>
    <xf numFmtId="49" fontId="11" fillId="2" borderId="14" xfId="3" applyNumberFormat="1" applyFont="1" applyFill="1" applyBorder="1" applyAlignment="1">
      <alignment horizontal="center" vertical="center" wrapText="1"/>
    </xf>
    <xf numFmtId="165" fontId="13" fillId="2" borderId="5" xfId="4" applyNumberFormat="1" applyFont="1" applyFill="1" applyBorder="1" applyAlignment="1">
      <alignment horizontal="center" vertical="center" wrapText="1"/>
    </xf>
    <xf numFmtId="165" fontId="13" fillId="2" borderId="14" xfId="4" applyNumberFormat="1" applyFont="1" applyFill="1" applyBorder="1" applyAlignment="1">
      <alignment horizontal="center" vertical="center" wrapText="1"/>
    </xf>
    <xf numFmtId="165" fontId="11" fillId="2" borderId="5" xfId="4" applyNumberFormat="1" applyFont="1" applyFill="1" applyBorder="1" applyAlignment="1">
      <alignment horizontal="center" vertical="center" wrapText="1"/>
    </xf>
    <xf numFmtId="165" fontId="11" fillId="2" borderId="14" xfId="4" applyNumberFormat="1" applyFont="1" applyFill="1" applyBorder="1" applyAlignment="1">
      <alignment horizontal="center" vertical="center" wrapText="1"/>
    </xf>
  </cellXfs>
  <cellStyles count="9">
    <cellStyle name="Normal" xfId="5"/>
    <cellStyle name="Денежный" xfId="1" builtinId="4"/>
    <cellStyle name="Обычный" xfId="0" builtinId="0"/>
    <cellStyle name="Обычный 2" xfId="6"/>
    <cellStyle name="Обычный 2 2" xfId="3"/>
    <cellStyle name="Обычный 3" xfId="7"/>
    <cellStyle name="Процентный" xfId="2" builtinId="5"/>
    <cellStyle name="Процентный 2" xfId="8"/>
    <cellStyle name="Процентный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uhomorova_YuN/Desktop/2018&#1075;&#1086;&#1076;/&#1057;&#1087;&#1088;&#1072;&#1074;&#1082;&#1072;%202018&#1075;/&#1057;&#1087;&#1088;&#1072;&#1074;&#1082;&#1072;%20&#1085;&#1072;%2001.12.2018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ziabrina1/Downloads/&#1057;&#1087;&#1088;&#1072;&#1074;&#1082;&#1072;%20&#1043;&#1050;&#1059;%20&#1085;&#1072;%2001.07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uhomorova_YuN/AppData/Local/Microsoft/Windows/Temporary%20Internet%20Files/Content.IE5/NX9FOXTT/&#1085;&#1086;&#1103;&#1073;&#1088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uhomorova_YuN/Desktop/2018&#1075;&#1086;&#1076;/&#1055;&#1086;&#1087;&#1088;&#1072;&#1074;&#1082;&#1080;%20&#1073;&#1102;&#1076;&#1078;&#1077;&#1090;&#1072;%20%202018&#1075;/&#1055;&#1086;&#1087;&#1088;&#1072;&#1074;&#1082;&#1080;_&#1079;&#1072;&#1082;&#1086;&#1085;%20&#1074;%20&#1086;&#1082;&#1090;&#1103;&#1073;&#1088;&#1077;%202018&#1075;/&#1041;&#1102;&#1076;&#1078;&#1077;&#1090;%20&#1089;%20&#1091;&#1095;&#1077;&#1090;&#1086;&#1084;%20&#1087;&#1086;&#1087;&#1088;&#1072;&#1074;&#1086;&#1082;%20&#1086;&#1082;&#1090;&#1103;&#1073;&#1088;&#1103;%202018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ыс. руб 1 знак"/>
      <sheetName val="Лист1"/>
    </sheetNames>
    <sheetDataSet>
      <sheetData sheetId="0" refreshError="1">
        <row r="27">
          <cell r="AV27">
            <v>3637.4515999999999</v>
          </cell>
        </row>
        <row r="34">
          <cell r="AV34">
            <v>125.789</v>
          </cell>
        </row>
        <row r="42">
          <cell r="AV42">
            <v>18.5198</v>
          </cell>
        </row>
        <row r="44">
          <cell r="AV44">
            <v>1.7767200000000001</v>
          </cell>
        </row>
        <row r="51">
          <cell r="AV51">
            <v>1736</v>
          </cell>
        </row>
        <row r="52">
          <cell r="AV52">
            <v>0</v>
          </cell>
        </row>
        <row r="53">
          <cell r="AV53">
            <v>11949.8</v>
          </cell>
        </row>
        <row r="61">
          <cell r="AV61">
            <v>0</v>
          </cell>
        </row>
        <row r="62">
          <cell r="AV62">
            <v>179</v>
          </cell>
        </row>
        <row r="63">
          <cell r="AV63">
            <v>0</v>
          </cell>
        </row>
        <row r="67">
          <cell r="AV67">
            <v>113003</v>
          </cell>
        </row>
        <row r="70">
          <cell r="AV70">
            <v>85.794030000000006</v>
          </cell>
        </row>
        <row r="72">
          <cell r="AV72">
            <v>985.62627999999995</v>
          </cell>
        </row>
        <row r="74">
          <cell r="AV74">
            <v>0</v>
          </cell>
        </row>
        <row r="89">
          <cell r="AV89">
            <v>27292.61579</v>
          </cell>
        </row>
        <row r="90">
          <cell r="AV90">
            <v>3756.9658199999999</v>
          </cell>
        </row>
        <row r="109">
          <cell r="AX109">
            <v>24150.432390000002</v>
          </cell>
        </row>
        <row r="116">
          <cell r="AX116">
            <v>20177.968400000002</v>
          </cell>
        </row>
        <row r="142">
          <cell r="AV142">
            <v>40000</v>
          </cell>
        </row>
        <row r="218">
          <cell r="AX218">
            <v>4087.14</v>
          </cell>
        </row>
        <row r="225">
          <cell r="AX225">
            <v>1152.98766</v>
          </cell>
        </row>
        <row r="226">
          <cell r="AX226">
            <v>347.03026</v>
          </cell>
        </row>
        <row r="228">
          <cell r="AX228">
            <v>7530.4659600000005</v>
          </cell>
        </row>
        <row r="254">
          <cell r="AX254">
            <v>7470</v>
          </cell>
        </row>
        <row r="261">
          <cell r="AX261">
            <v>50</v>
          </cell>
        </row>
        <row r="262">
          <cell r="AV262">
            <v>3196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объектам (2)"/>
      <sheetName val="Лист1"/>
    </sheetNames>
    <sheetDataSet>
      <sheetData sheetId="0" refreshError="1"/>
      <sheetData sheetId="1">
        <row r="546">
          <cell r="H546">
            <v>2774176.3939299998</v>
          </cell>
          <cell r="L546">
            <v>1302317.6028499999</v>
          </cell>
        </row>
        <row r="552">
          <cell r="L552">
            <v>1247094.5115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объектам (2)"/>
      <sheetName val="Лист1"/>
    </sheetNames>
    <sheetDataSet>
      <sheetData sheetId="0" refreshError="1">
        <row r="287">
          <cell r="H287">
            <v>50853.993880000009</v>
          </cell>
        </row>
        <row r="304">
          <cell r="H304">
            <v>9989.2780600000006</v>
          </cell>
        </row>
        <row r="307">
          <cell r="H307">
            <v>395130.67035000003</v>
          </cell>
        </row>
        <row r="309">
          <cell r="H309">
            <v>10694.78033</v>
          </cell>
        </row>
      </sheetData>
      <sheetData sheetId="1" refreshError="1">
        <row r="609">
          <cell r="M609">
            <v>2451162.57467</v>
          </cell>
        </row>
        <row r="675">
          <cell r="M675">
            <v>14894.558850000001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ыс. руб "/>
      <sheetName val="тыс. руб свод"/>
      <sheetName val="Лист1"/>
    </sheetNames>
    <sheetDataSet>
      <sheetData sheetId="0" refreshError="1">
        <row r="263">
          <cell r="O263">
            <v>75990.22352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13"/>
  <sheetViews>
    <sheetView tabSelected="1" zoomScale="75" zoomScaleNormal="75" workbookViewId="0">
      <pane xSplit="10" ySplit="5" topLeftCell="K240" activePane="bottomRight" state="frozen"/>
      <selection pane="topRight" activeCell="K1" sqref="K1"/>
      <selection pane="bottomLeft" activeCell="A5" sqref="A5"/>
      <selection pane="bottomRight" activeCell="C266" sqref="C266"/>
    </sheetView>
  </sheetViews>
  <sheetFormatPr defaultRowHeight="15"/>
  <cols>
    <col min="1" max="1" width="0.28515625" style="1" customWidth="1"/>
    <col min="2" max="2" width="21.7109375" style="2" customWidth="1"/>
    <col min="3" max="3" width="53.28515625" style="3" customWidth="1"/>
    <col min="4" max="4" width="27" style="4" hidden="1" customWidth="1"/>
    <col min="5" max="5" width="17.85546875" style="5" hidden="1" customWidth="1"/>
    <col min="6" max="6" width="19" style="5" hidden="1" customWidth="1"/>
    <col min="7" max="7" width="18.5703125" style="5" hidden="1" customWidth="1"/>
    <col min="8" max="8" width="17.85546875" style="5" hidden="1" customWidth="1"/>
    <col min="9" max="9" width="18.140625" style="5" hidden="1" customWidth="1"/>
    <col min="10" max="10" width="4" style="5" hidden="1" customWidth="1"/>
    <col min="11" max="11" width="24.85546875" style="5" customWidth="1"/>
    <col min="12" max="12" width="22.7109375" style="5" hidden="1" customWidth="1"/>
    <col min="13" max="13" width="23.140625" style="5" hidden="1" customWidth="1"/>
    <col min="14" max="14" width="22" style="6" hidden="1" customWidth="1"/>
    <col min="15" max="15" width="21.42578125" style="6" hidden="1" customWidth="1"/>
    <col min="16" max="16" width="21" style="6" hidden="1" customWidth="1"/>
    <col min="17" max="17" width="23.5703125" style="5" hidden="1" customWidth="1"/>
    <col min="18" max="18" width="22.7109375" style="5" hidden="1" customWidth="1"/>
    <col min="19" max="19" width="23.5703125" style="5" hidden="1" customWidth="1"/>
    <col min="20" max="20" width="26.85546875" style="6" hidden="1" customWidth="1"/>
    <col min="21" max="21" width="14" style="7" hidden="1" customWidth="1"/>
    <col min="22" max="22" width="27.28515625" style="6" hidden="1" customWidth="1"/>
    <col min="23" max="23" width="13.7109375" style="8" hidden="1" customWidth="1"/>
    <col min="24" max="24" width="22" style="6" hidden="1" customWidth="1"/>
    <col min="25" max="25" width="19.140625" style="9" hidden="1" customWidth="1"/>
    <col min="26" max="26" width="21.7109375" style="6" hidden="1" customWidth="1"/>
    <col min="27" max="27" width="11.140625" style="7" hidden="1" customWidth="1"/>
    <col min="28" max="28" width="23.7109375" style="6" hidden="1" customWidth="1"/>
    <col min="29" max="29" width="11" style="8" hidden="1" customWidth="1"/>
    <col min="30" max="30" width="21.28515625" style="6" hidden="1" customWidth="1"/>
    <col min="31" max="32" width="25.140625" style="6" hidden="1" customWidth="1"/>
    <col min="33" max="33" width="1.7109375" style="6" hidden="1" customWidth="1"/>
    <col min="34" max="35" width="16.85546875" style="6" hidden="1" customWidth="1"/>
    <col min="36" max="36" width="15.85546875" style="6" hidden="1" customWidth="1"/>
    <col min="37" max="37" width="26" style="6" hidden="1" customWidth="1"/>
    <col min="38" max="38" width="9.140625" style="10" hidden="1" customWidth="1"/>
    <col min="39" max="39" width="16.28515625" style="10" hidden="1" customWidth="1"/>
    <col min="40" max="40" width="27.7109375" style="6" hidden="1" customWidth="1"/>
    <col min="41" max="41" width="11.5703125" style="10" hidden="1" customWidth="1"/>
    <col min="42" max="42" width="16" style="10" hidden="1" customWidth="1"/>
    <col min="43" max="43" width="20.5703125" style="6" hidden="1" customWidth="1"/>
    <col min="44" max="44" width="9.85546875" style="11" hidden="1" customWidth="1"/>
    <col min="45" max="45" width="16.42578125" style="11" hidden="1" customWidth="1"/>
    <col min="46" max="46" width="23.85546875" style="6" customWidth="1"/>
    <col min="47" max="47" width="13.7109375" style="10" customWidth="1"/>
    <col min="48" max="48" width="26.28515625" style="6" hidden="1" customWidth="1"/>
    <col min="49" max="49" width="16" style="10" hidden="1" customWidth="1"/>
    <col min="50" max="50" width="23.28515625" style="6" hidden="1" customWidth="1"/>
    <col min="51" max="51" width="16" style="12" hidden="1" customWidth="1"/>
    <col min="52" max="52" width="26.28515625" style="6" hidden="1" customWidth="1"/>
    <col min="53" max="53" width="16" style="6" hidden="1" customWidth="1"/>
    <col min="54" max="54" width="22.5703125" style="6" hidden="1" customWidth="1"/>
    <col min="55" max="55" width="12.28515625" style="6" hidden="1" customWidth="1"/>
    <col min="56" max="56" width="23.85546875" style="6" hidden="1" customWidth="1"/>
    <col min="57" max="57" width="13.7109375" style="6" hidden="1" customWidth="1"/>
    <col min="58" max="58" width="23.42578125" style="6" hidden="1" customWidth="1"/>
    <col min="59" max="59" width="13.140625" style="6" hidden="1" customWidth="1"/>
    <col min="60" max="60" width="23.42578125" style="6" hidden="1" customWidth="1"/>
    <col min="61" max="61" width="13.140625" style="6" hidden="1" customWidth="1"/>
    <col min="62" max="63" width="21.140625" style="6" hidden="1" customWidth="1"/>
    <col min="64" max="64" width="23.42578125" style="6" hidden="1" customWidth="1"/>
    <col min="65" max="65" width="12.42578125" style="6" hidden="1" customWidth="1"/>
    <col min="66" max="66" width="22.85546875" style="6" hidden="1" customWidth="1"/>
    <col min="67" max="67" width="14.42578125" style="6" hidden="1" customWidth="1"/>
    <col min="68" max="68" width="22" style="6" hidden="1" customWidth="1"/>
    <col min="69" max="69" width="13.28515625" style="6" hidden="1" customWidth="1"/>
    <col min="70" max="70" width="27.5703125" style="6" hidden="1" customWidth="1"/>
    <col min="71" max="71" width="16.7109375" style="6" hidden="1" customWidth="1"/>
    <col min="72" max="72" width="23.42578125" style="6" hidden="1" customWidth="1"/>
    <col min="73" max="73" width="20.140625" style="6" hidden="1" customWidth="1"/>
    <col min="74" max="75" width="20.7109375" style="6" hidden="1" customWidth="1"/>
    <col min="76" max="76" width="49.28515625" style="6" hidden="1" customWidth="1"/>
    <col min="77" max="77" width="15.7109375" style="9" hidden="1" customWidth="1"/>
    <col min="78" max="78" width="25.140625" style="6" hidden="1" customWidth="1"/>
    <col min="79" max="79" width="11.140625" style="7" hidden="1" customWidth="1"/>
    <col min="80" max="80" width="25.140625" style="6" hidden="1" customWidth="1"/>
    <col min="81" max="81" width="13.7109375" style="8" hidden="1" customWidth="1"/>
    <col min="82" max="82" width="25.140625" style="6" hidden="1" customWidth="1"/>
    <col min="83" max="83" width="15.7109375" style="9" hidden="1" customWidth="1"/>
    <col min="84" max="84" width="18.85546875" style="6" hidden="1" customWidth="1"/>
    <col min="85" max="85" width="16.28515625" style="1" hidden="1" customWidth="1"/>
    <col min="86" max="86" width="16" style="6" hidden="1" customWidth="1"/>
    <col min="87" max="87" width="14.28515625" style="1" hidden="1" customWidth="1"/>
    <col min="88" max="88" width="17.85546875" style="6" hidden="1" customWidth="1"/>
    <col min="89" max="89" width="14" style="1" hidden="1" customWidth="1"/>
    <col min="90" max="90" width="14.42578125" style="1" hidden="1" customWidth="1"/>
    <col min="91" max="91" width="9.140625" style="1" hidden="1" customWidth="1"/>
    <col min="92" max="92" width="19" style="1" hidden="1" customWidth="1"/>
    <col min="93" max="94" width="9.140625" style="1" hidden="1" customWidth="1"/>
    <col min="95" max="95" width="14.7109375" style="1" hidden="1" customWidth="1"/>
    <col min="96" max="96" width="13.5703125" style="1" hidden="1" customWidth="1"/>
    <col min="97" max="97" width="25.85546875" style="1" hidden="1" customWidth="1"/>
    <col min="98" max="98" width="9.140625" style="1" hidden="1" customWidth="1"/>
    <col min="99" max="103" width="9.140625" style="1" customWidth="1"/>
    <col min="104" max="104" width="26.42578125" style="1" customWidth="1"/>
    <col min="105" max="118" width="9.140625" style="1" customWidth="1"/>
    <col min="119" max="16384" width="9.140625" style="1"/>
  </cols>
  <sheetData>
    <row r="1" spans="1:104" ht="18.75">
      <c r="AW1" s="6"/>
      <c r="BF1" s="13"/>
    </row>
    <row r="2" spans="1:104" ht="49.5" customHeight="1" thickBot="1">
      <c r="B2" s="1261" t="s">
        <v>0</v>
      </c>
      <c r="C2" s="1261"/>
      <c r="D2" s="1261"/>
      <c r="E2" s="1261"/>
      <c r="F2" s="1261"/>
      <c r="G2" s="1261"/>
      <c r="H2" s="1261"/>
      <c r="I2" s="1261"/>
      <c r="J2" s="1261"/>
      <c r="K2" s="1261"/>
      <c r="L2" s="1261"/>
      <c r="M2" s="1261"/>
      <c r="N2" s="1261"/>
      <c r="O2" s="1261"/>
      <c r="P2" s="1261"/>
      <c r="Q2" s="1261"/>
      <c r="R2" s="1261"/>
      <c r="S2" s="1261"/>
      <c r="T2" s="1261"/>
      <c r="U2" s="1261"/>
      <c r="V2" s="1261"/>
      <c r="W2" s="1261"/>
      <c r="X2" s="1261"/>
      <c r="Y2" s="1261"/>
      <c r="Z2" s="1261"/>
      <c r="AA2" s="1261"/>
      <c r="AB2" s="1261"/>
      <c r="AC2" s="1261"/>
      <c r="AD2" s="1261"/>
      <c r="AE2" s="1261"/>
      <c r="AF2" s="1261"/>
      <c r="AG2" s="1261"/>
      <c r="AH2" s="1261"/>
      <c r="AI2" s="1261"/>
      <c r="AJ2" s="1261"/>
      <c r="AK2" s="1261"/>
      <c r="AL2" s="1261"/>
      <c r="AM2" s="1261"/>
      <c r="AN2" s="1261"/>
      <c r="AO2" s="1261"/>
      <c r="AP2" s="1261"/>
      <c r="AQ2" s="1261"/>
      <c r="AR2" s="1261"/>
      <c r="AS2" s="1261"/>
      <c r="AT2" s="1261"/>
      <c r="AU2" s="1261"/>
      <c r="AV2" s="1261"/>
      <c r="AW2" s="1261"/>
      <c r="AX2" s="1261"/>
      <c r="AY2" s="1261"/>
      <c r="AZ2" s="1261"/>
      <c r="BA2" s="1261"/>
      <c r="BB2" s="1261"/>
      <c r="BC2" s="1261"/>
      <c r="BD2" s="1261"/>
      <c r="BE2" s="1261"/>
      <c r="BF2" s="1261"/>
      <c r="BG2" s="1261"/>
      <c r="BH2" s="1261"/>
      <c r="BI2" s="1261"/>
      <c r="BJ2" s="1261"/>
      <c r="BK2" s="1261"/>
      <c r="BL2" s="1261"/>
      <c r="BM2" s="1261"/>
      <c r="BN2" s="1261"/>
      <c r="BO2" s="1261"/>
      <c r="BP2" s="1261"/>
      <c r="BQ2" s="1261"/>
      <c r="BR2" s="1261"/>
      <c r="BS2" s="1261"/>
      <c r="BT2" s="1261"/>
      <c r="BU2" s="1261"/>
      <c r="BV2" s="1261"/>
      <c r="BW2" s="1261"/>
      <c r="BX2" s="1261"/>
      <c r="BY2" s="14"/>
      <c r="BZ2" s="14"/>
      <c r="CA2" s="14"/>
      <c r="CB2" s="14"/>
      <c r="CC2" s="14"/>
      <c r="CD2" s="14"/>
      <c r="CE2" s="14"/>
      <c r="CF2" s="1"/>
      <c r="CH2" s="1"/>
      <c r="CJ2" s="1"/>
    </row>
    <row r="3" spans="1:104" ht="45" hidden="1" customHeight="1">
      <c r="A3" s="15"/>
      <c r="B3" s="1262" t="s">
        <v>1</v>
      </c>
      <c r="C3" s="1262"/>
      <c r="D3" s="1262"/>
      <c r="E3" s="1262"/>
      <c r="F3" s="1262"/>
      <c r="G3" s="1262"/>
      <c r="H3" s="1262"/>
      <c r="I3" s="1262"/>
      <c r="J3" s="1262"/>
      <c r="K3" s="1262"/>
      <c r="L3" s="1262"/>
      <c r="M3" s="1262"/>
      <c r="N3" s="1262"/>
      <c r="O3" s="1262"/>
      <c r="P3" s="1262"/>
      <c r="Q3" s="1262"/>
      <c r="R3" s="1262"/>
      <c r="S3" s="1262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7"/>
      <c r="AM3" s="17"/>
      <c r="AN3" s="16"/>
      <c r="AO3" s="17"/>
      <c r="AP3" s="17"/>
      <c r="AQ3" s="16"/>
      <c r="AR3" s="17"/>
      <c r="AS3" s="17"/>
      <c r="AT3" s="16"/>
      <c r="AU3" s="17"/>
      <c r="AV3" s="16"/>
      <c r="AW3" s="17"/>
      <c r="AX3" s="16"/>
      <c r="AY3" s="17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H3" s="16"/>
      <c r="CJ3" s="16"/>
    </row>
    <row r="4" spans="1:104" ht="24" customHeight="1">
      <c r="A4" s="18" t="s">
        <v>2</v>
      </c>
      <c r="B4" s="1263" t="s">
        <v>2</v>
      </c>
      <c r="C4" s="1265" t="s">
        <v>3</v>
      </c>
      <c r="D4" s="1267" t="s">
        <v>4</v>
      </c>
      <c r="E4" s="1253" t="s">
        <v>5</v>
      </c>
      <c r="F4" s="19" t="s">
        <v>6</v>
      </c>
      <c r="G4" s="19"/>
      <c r="H4" s="1253" t="s">
        <v>7</v>
      </c>
      <c r="I4" s="19" t="s">
        <v>6</v>
      </c>
      <c r="J4" s="19"/>
      <c r="K4" s="1253" t="s">
        <v>447</v>
      </c>
      <c r="L4" s="1249" t="s">
        <v>6</v>
      </c>
      <c r="M4" s="1251"/>
      <c r="N4" s="1252" t="s">
        <v>8</v>
      </c>
      <c r="O4" s="1249" t="s">
        <v>6</v>
      </c>
      <c r="P4" s="1251"/>
      <c r="Q4" s="1252" t="s">
        <v>9</v>
      </c>
      <c r="R4" s="1249" t="s">
        <v>6</v>
      </c>
      <c r="S4" s="1251"/>
      <c r="T4" s="1252" t="s">
        <v>10</v>
      </c>
      <c r="U4" s="1252" t="s">
        <v>11</v>
      </c>
      <c r="V4" s="19" t="s">
        <v>6</v>
      </c>
      <c r="W4" s="19"/>
      <c r="X4" s="19"/>
      <c r="Y4" s="19"/>
      <c r="Z4" s="1252" t="s">
        <v>12</v>
      </c>
      <c r="AA4" s="1252" t="s">
        <v>11</v>
      </c>
      <c r="AB4" s="1249" t="s">
        <v>6</v>
      </c>
      <c r="AC4" s="1250"/>
      <c r="AD4" s="1251"/>
      <c r="AE4" s="20" t="s">
        <v>13</v>
      </c>
      <c r="AF4" s="19" t="s">
        <v>6</v>
      </c>
      <c r="AG4" s="19"/>
      <c r="AH4" s="1252" t="s">
        <v>14</v>
      </c>
      <c r="AI4" s="19" t="s">
        <v>6</v>
      </c>
      <c r="AJ4" s="19"/>
      <c r="AK4" s="1252" t="s">
        <v>15</v>
      </c>
      <c r="AL4" s="1269" t="s">
        <v>16</v>
      </c>
      <c r="AM4" s="1271" t="s">
        <v>17</v>
      </c>
      <c r="AN4" s="19" t="s">
        <v>6</v>
      </c>
      <c r="AO4" s="21"/>
      <c r="AP4" s="21"/>
      <c r="AQ4" s="19"/>
      <c r="AR4" s="21"/>
      <c r="AS4" s="21"/>
      <c r="AT4" s="1253" t="s">
        <v>448</v>
      </c>
      <c r="AU4" s="1259" t="s">
        <v>17</v>
      </c>
      <c r="AV4" s="1249" t="s">
        <v>6</v>
      </c>
      <c r="AW4" s="1250"/>
      <c r="AX4" s="1250"/>
      <c r="AY4" s="1251"/>
      <c r="AZ4" s="1253" t="s">
        <v>18</v>
      </c>
      <c r="BA4" s="1259" t="s">
        <v>17</v>
      </c>
      <c r="BB4" s="1249" t="s">
        <v>6</v>
      </c>
      <c r="BC4" s="1250"/>
      <c r="BD4" s="1250"/>
      <c r="BE4" s="1251"/>
      <c r="BF4" s="1253" t="s">
        <v>19</v>
      </c>
      <c r="BG4" s="1252" t="s">
        <v>20</v>
      </c>
      <c r="BH4" s="1249" t="s">
        <v>6</v>
      </c>
      <c r="BI4" s="1250"/>
      <c r="BJ4" s="1250"/>
      <c r="BK4" s="1251"/>
      <c r="BL4" s="1253" t="s">
        <v>21</v>
      </c>
      <c r="BM4" s="1252" t="s">
        <v>22</v>
      </c>
      <c r="BN4" s="1249" t="s">
        <v>6</v>
      </c>
      <c r="BO4" s="1250"/>
      <c r="BP4" s="1250"/>
      <c r="BQ4" s="1251"/>
      <c r="BR4" s="1253" t="s">
        <v>23</v>
      </c>
      <c r="BS4" s="1252" t="s">
        <v>22</v>
      </c>
      <c r="BT4" s="1249" t="s">
        <v>6</v>
      </c>
      <c r="BU4" s="1250"/>
      <c r="BV4" s="1250"/>
      <c r="BW4" s="1251"/>
      <c r="BX4" s="1255" t="s">
        <v>24</v>
      </c>
      <c r="BY4" s="19"/>
      <c r="BZ4" s="1253" t="s">
        <v>25</v>
      </c>
      <c r="CA4" s="1257" t="s">
        <v>11</v>
      </c>
      <c r="CB4" s="1249" t="s">
        <v>6</v>
      </c>
      <c r="CC4" s="1250"/>
      <c r="CD4" s="1250"/>
      <c r="CE4" s="1251"/>
      <c r="CF4" s="1252" t="s">
        <v>26</v>
      </c>
      <c r="CG4" s="1252" t="s">
        <v>27</v>
      </c>
      <c r="CH4" s="1252" t="s">
        <v>28</v>
      </c>
      <c r="CI4" s="1252" t="s">
        <v>27</v>
      </c>
      <c r="CJ4" s="1252" t="s">
        <v>29</v>
      </c>
      <c r="CK4" s="1244" t="s">
        <v>27</v>
      </c>
    </row>
    <row r="5" spans="1:104" ht="111" customHeight="1">
      <c r="A5" s="22"/>
      <c r="B5" s="1264"/>
      <c r="C5" s="1266"/>
      <c r="D5" s="1268"/>
      <c r="E5" s="1254"/>
      <c r="F5" s="23" t="s">
        <v>30</v>
      </c>
      <c r="G5" s="23" t="s">
        <v>31</v>
      </c>
      <c r="H5" s="1254"/>
      <c r="I5" s="23" t="s">
        <v>30</v>
      </c>
      <c r="J5" s="23" t="s">
        <v>31</v>
      </c>
      <c r="K5" s="1254"/>
      <c r="L5" s="23" t="s">
        <v>30</v>
      </c>
      <c r="M5" s="23" t="s">
        <v>31</v>
      </c>
      <c r="N5" s="1247"/>
      <c r="O5" s="23" t="s">
        <v>30</v>
      </c>
      <c r="P5" s="23" t="s">
        <v>31</v>
      </c>
      <c r="Q5" s="1247"/>
      <c r="R5" s="23" t="s">
        <v>30</v>
      </c>
      <c r="S5" s="23" t="s">
        <v>31</v>
      </c>
      <c r="T5" s="1247"/>
      <c r="U5" s="1247"/>
      <c r="V5" s="23" t="s">
        <v>30</v>
      </c>
      <c r="W5" s="30" t="s">
        <v>17</v>
      </c>
      <c r="X5" s="23" t="s">
        <v>31</v>
      </c>
      <c r="Y5" s="30" t="s">
        <v>17</v>
      </c>
      <c r="Z5" s="1247"/>
      <c r="AA5" s="1247"/>
      <c r="AB5" s="23" t="s">
        <v>30</v>
      </c>
      <c r="AC5" s="30" t="s">
        <v>17</v>
      </c>
      <c r="AD5" s="23" t="s">
        <v>31</v>
      </c>
      <c r="AE5" s="24"/>
      <c r="AF5" s="23" t="s">
        <v>30</v>
      </c>
      <c r="AG5" s="23" t="s">
        <v>31</v>
      </c>
      <c r="AH5" s="1247"/>
      <c r="AI5" s="23" t="s">
        <v>30</v>
      </c>
      <c r="AJ5" s="23" t="s">
        <v>31</v>
      </c>
      <c r="AK5" s="1247"/>
      <c r="AL5" s="1270"/>
      <c r="AM5" s="1272"/>
      <c r="AN5" s="23" t="s">
        <v>30</v>
      </c>
      <c r="AO5" s="25" t="s">
        <v>16</v>
      </c>
      <c r="AP5" s="25" t="s">
        <v>17</v>
      </c>
      <c r="AQ5" s="24" t="s">
        <v>31</v>
      </c>
      <c r="AR5" s="25" t="s">
        <v>16</v>
      </c>
      <c r="AS5" s="25" t="s">
        <v>17</v>
      </c>
      <c r="AT5" s="1254"/>
      <c r="AU5" s="1260"/>
      <c r="AV5" s="24" t="s">
        <v>30</v>
      </c>
      <c r="AW5" s="26" t="s">
        <v>17</v>
      </c>
      <c r="AX5" s="24" t="s">
        <v>32</v>
      </c>
      <c r="AY5" s="26" t="s">
        <v>17</v>
      </c>
      <c r="AZ5" s="1254"/>
      <c r="BA5" s="1260"/>
      <c r="BB5" s="23" t="s">
        <v>30</v>
      </c>
      <c r="BC5" s="26" t="s">
        <v>17</v>
      </c>
      <c r="BD5" s="24" t="s">
        <v>31</v>
      </c>
      <c r="BE5" s="26" t="s">
        <v>17</v>
      </c>
      <c r="BF5" s="1254"/>
      <c r="BG5" s="1247"/>
      <c r="BH5" s="27" t="s">
        <v>30</v>
      </c>
      <c r="BI5" s="1246" t="s">
        <v>20</v>
      </c>
      <c r="BJ5" s="27" t="s">
        <v>31</v>
      </c>
      <c r="BK5" s="1246" t="s">
        <v>20</v>
      </c>
      <c r="BL5" s="1254"/>
      <c r="BM5" s="1247"/>
      <c r="BN5" s="28" t="s">
        <v>30</v>
      </c>
      <c r="BO5" s="1246" t="s">
        <v>22</v>
      </c>
      <c r="BP5" s="27" t="s">
        <v>31</v>
      </c>
      <c r="BQ5" s="1246" t="s">
        <v>22</v>
      </c>
      <c r="BR5" s="1254"/>
      <c r="BS5" s="1247"/>
      <c r="BT5" s="28" t="s">
        <v>30</v>
      </c>
      <c r="BU5" s="29" t="s">
        <v>22</v>
      </c>
      <c r="BV5" s="28" t="s">
        <v>31</v>
      </c>
      <c r="BW5" s="1246" t="s">
        <v>22</v>
      </c>
      <c r="BX5" s="1256"/>
      <c r="BY5" s="30" t="s">
        <v>17</v>
      </c>
      <c r="BZ5" s="1254"/>
      <c r="CA5" s="1258"/>
      <c r="CB5" s="23" t="s">
        <v>30</v>
      </c>
      <c r="CC5" s="30" t="s">
        <v>17</v>
      </c>
      <c r="CD5" s="23" t="s">
        <v>31</v>
      </c>
      <c r="CE5" s="30" t="s">
        <v>17</v>
      </c>
      <c r="CF5" s="1247"/>
      <c r="CG5" s="1247"/>
      <c r="CH5" s="1247"/>
      <c r="CI5" s="1247"/>
      <c r="CJ5" s="1247"/>
      <c r="CK5" s="1245"/>
    </row>
    <row r="6" spans="1:104" s="31" customFormat="1" ht="15" customHeight="1" thickBot="1">
      <c r="B6" s="32">
        <v>1</v>
      </c>
      <c r="C6" s="33">
        <v>2</v>
      </c>
      <c r="D6" s="33"/>
      <c r="E6" s="34">
        <v>3</v>
      </c>
      <c r="F6" s="34" t="s">
        <v>33</v>
      </c>
      <c r="G6" s="34" t="s">
        <v>34</v>
      </c>
      <c r="H6" s="34">
        <v>4</v>
      </c>
      <c r="I6" s="34" t="s">
        <v>33</v>
      </c>
      <c r="J6" s="34" t="s">
        <v>34</v>
      </c>
      <c r="K6" s="35">
        <v>3</v>
      </c>
      <c r="L6" s="34" t="s">
        <v>33</v>
      </c>
      <c r="M6" s="34" t="s">
        <v>34</v>
      </c>
      <c r="N6" s="34">
        <v>4</v>
      </c>
      <c r="O6" s="33" t="s">
        <v>35</v>
      </c>
      <c r="P6" s="33" t="s">
        <v>36</v>
      </c>
      <c r="Q6" s="36" t="s">
        <v>37</v>
      </c>
      <c r="R6" s="33" t="s">
        <v>35</v>
      </c>
      <c r="S6" s="33" t="s">
        <v>36</v>
      </c>
      <c r="T6" s="37">
        <v>4</v>
      </c>
      <c r="U6" s="38" t="s">
        <v>38</v>
      </c>
      <c r="V6" s="33" t="s">
        <v>35</v>
      </c>
      <c r="W6" s="37"/>
      <c r="X6" s="33" t="s">
        <v>36</v>
      </c>
      <c r="Y6" s="37"/>
      <c r="Z6" s="37">
        <v>5</v>
      </c>
      <c r="AA6" s="38" t="s">
        <v>39</v>
      </c>
      <c r="AB6" s="33" t="s">
        <v>40</v>
      </c>
      <c r="AC6" s="37"/>
      <c r="AD6" s="33" t="s">
        <v>41</v>
      </c>
      <c r="AE6" s="37"/>
      <c r="AF6" s="37"/>
      <c r="AG6" s="37"/>
      <c r="AH6" s="37">
        <v>4</v>
      </c>
      <c r="AI6" s="33" t="s">
        <v>35</v>
      </c>
      <c r="AJ6" s="33" t="s">
        <v>36</v>
      </c>
      <c r="AK6" s="37">
        <v>4</v>
      </c>
      <c r="AL6" s="37" t="s">
        <v>42</v>
      </c>
      <c r="AM6" s="37" t="s">
        <v>38</v>
      </c>
      <c r="AN6" s="33" t="s">
        <v>35</v>
      </c>
      <c r="AO6" s="37"/>
      <c r="AP6" s="37"/>
      <c r="AQ6" s="33" t="s">
        <v>36</v>
      </c>
      <c r="AR6" s="37"/>
      <c r="AS6" s="37"/>
      <c r="AT6" s="37">
        <v>4</v>
      </c>
      <c r="AU6" s="37" t="s">
        <v>38</v>
      </c>
      <c r="AV6" s="36" t="s">
        <v>35</v>
      </c>
      <c r="AW6" s="37"/>
      <c r="AX6" s="33" t="s">
        <v>36</v>
      </c>
      <c r="AY6" s="37"/>
      <c r="AZ6" s="37">
        <v>5</v>
      </c>
      <c r="BA6" s="37" t="s">
        <v>39</v>
      </c>
      <c r="BB6" s="33" t="s">
        <v>40</v>
      </c>
      <c r="BC6" s="37"/>
      <c r="BD6" s="33" t="s">
        <v>41</v>
      </c>
      <c r="BE6" s="37"/>
      <c r="BF6" s="37">
        <v>6</v>
      </c>
      <c r="BG6" s="37" t="s">
        <v>43</v>
      </c>
      <c r="BH6" s="36" t="s">
        <v>44</v>
      </c>
      <c r="BI6" s="1247"/>
      <c r="BJ6" s="33" t="s">
        <v>45</v>
      </c>
      <c r="BK6" s="1247"/>
      <c r="BL6" s="37">
        <v>7</v>
      </c>
      <c r="BM6" s="37" t="s">
        <v>46</v>
      </c>
      <c r="BN6" s="33" t="s">
        <v>47</v>
      </c>
      <c r="BO6" s="1247"/>
      <c r="BP6" s="33" t="s">
        <v>48</v>
      </c>
      <c r="BQ6" s="1247"/>
      <c r="BR6" s="37">
        <v>8</v>
      </c>
      <c r="BS6" s="37"/>
      <c r="BT6" s="33" t="s">
        <v>49</v>
      </c>
      <c r="BU6" s="39"/>
      <c r="BV6" s="33" t="s">
        <v>50</v>
      </c>
      <c r="BW6" s="1248"/>
      <c r="BX6" s="40">
        <v>8</v>
      </c>
      <c r="BY6" s="37"/>
      <c r="BZ6" s="37">
        <v>7</v>
      </c>
      <c r="CA6" s="38" t="s">
        <v>43</v>
      </c>
      <c r="CB6" s="37"/>
      <c r="CC6" s="37"/>
      <c r="CD6" s="37"/>
      <c r="CE6" s="37"/>
      <c r="CF6" s="37">
        <v>8</v>
      </c>
      <c r="CG6" s="37">
        <v>9</v>
      </c>
      <c r="CH6" s="37">
        <v>10</v>
      </c>
      <c r="CI6" s="37">
        <v>11</v>
      </c>
      <c r="CJ6" s="37">
        <v>12</v>
      </c>
      <c r="CK6" s="41">
        <v>13</v>
      </c>
    </row>
    <row r="7" spans="1:104" s="42" customFormat="1" ht="47.25" customHeight="1" thickBot="1">
      <c r="B7" s="1238" t="s">
        <v>51</v>
      </c>
      <c r="C7" s="1239"/>
      <c r="D7" s="43"/>
      <c r="E7" s="44"/>
      <c r="F7" s="44"/>
      <c r="G7" s="44"/>
      <c r="H7" s="44"/>
      <c r="I7" s="44"/>
      <c r="J7" s="44"/>
      <c r="K7" s="45">
        <f>L7+M7</f>
        <v>9082303.7827800009</v>
      </c>
      <c r="L7" s="45">
        <f>L124+L162+L206+L213+L266+L259</f>
        <v>8158811.7842100011</v>
      </c>
      <c r="M7" s="45">
        <f>M124+M162+M206+M213+M266+M259</f>
        <v>923491.99857000005</v>
      </c>
      <c r="N7" s="45">
        <f>O7+P7</f>
        <v>101464.14708000013</v>
      </c>
      <c r="O7" s="45">
        <f t="shared" ref="O7:AL7" si="0">O124+O162+O206+O213+O266</f>
        <v>101464.14708000013</v>
      </c>
      <c r="P7" s="45">
        <f t="shared" si="0"/>
        <v>0</v>
      </c>
      <c r="Q7" s="45">
        <f>R7+S7</f>
        <v>9173439.1523499992</v>
      </c>
      <c r="R7" s="45">
        <f>R124+R162+R206+R213+R266+R259</f>
        <v>8249947.1537799994</v>
      </c>
      <c r="S7" s="45">
        <f>S124+S162+S206+S213+S266+S259</f>
        <v>923491.99857000005</v>
      </c>
      <c r="T7" s="45" t="e">
        <f t="shared" si="0"/>
        <v>#REF!</v>
      </c>
      <c r="U7" s="45" t="e">
        <f t="shared" si="0"/>
        <v>#DIV/0!</v>
      </c>
      <c r="V7" s="45" t="e">
        <f t="shared" si="0"/>
        <v>#REF!</v>
      </c>
      <c r="W7" s="45" t="e">
        <f t="shared" si="0"/>
        <v>#DIV/0!</v>
      </c>
      <c r="X7" s="45" t="e">
        <f t="shared" si="0"/>
        <v>#REF!</v>
      </c>
      <c r="Y7" s="45" t="e">
        <f t="shared" si="0"/>
        <v>#DIV/0!</v>
      </c>
      <c r="Z7" s="45" t="e">
        <f t="shared" si="0"/>
        <v>#REF!</v>
      </c>
      <c r="AA7" s="45" t="e">
        <f t="shared" si="0"/>
        <v>#DIV/0!</v>
      </c>
      <c r="AB7" s="45" t="e">
        <f t="shared" si="0"/>
        <v>#REF!</v>
      </c>
      <c r="AC7" s="45" t="e">
        <f t="shared" si="0"/>
        <v>#REF!</v>
      </c>
      <c r="AD7" s="45" t="e">
        <f t="shared" si="0"/>
        <v>#REF!</v>
      </c>
      <c r="AE7" s="45" t="e">
        <f t="shared" si="0"/>
        <v>#REF!</v>
      </c>
      <c r="AF7" s="45" t="e">
        <f t="shared" si="0"/>
        <v>#REF!</v>
      </c>
      <c r="AG7" s="45" t="e">
        <f t="shared" si="0"/>
        <v>#REF!</v>
      </c>
      <c r="AH7" s="45" t="e">
        <f t="shared" si="0"/>
        <v>#REF!</v>
      </c>
      <c r="AI7" s="45" t="e">
        <f t="shared" si="0"/>
        <v>#REF!</v>
      </c>
      <c r="AJ7" s="45" t="e">
        <f t="shared" si="0"/>
        <v>#REF!</v>
      </c>
      <c r="AK7" s="45">
        <f>AK124+AK162+AK206+AK213+AK266+AK259</f>
        <v>2672554.33268</v>
      </c>
      <c r="AL7" s="45" t="e">
        <f t="shared" si="0"/>
        <v>#REF!</v>
      </c>
      <c r="AM7" s="46">
        <f>AK7/K7</f>
        <v>0.29425951791517352</v>
      </c>
      <c r="AN7" s="45">
        <f>AN124+AN162+AN206+AN213+AN266</f>
        <v>2133905.5879199998</v>
      </c>
      <c r="AO7" s="45" t="e">
        <f>AO124+AO162+AO206+AO213+AO266</f>
        <v>#REF!</v>
      </c>
      <c r="AP7" s="46">
        <f>AN7/L7</f>
        <v>0.26154612269029331</v>
      </c>
      <c r="AQ7" s="45">
        <f>AQ124+AQ162+AQ206+AQ213+AQ266+AQ259</f>
        <v>538648.74475999991</v>
      </c>
      <c r="AR7" s="45" t="e">
        <f>AR124+AR162+AR206+AR213+AR266</f>
        <v>#REF!</v>
      </c>
      <c r="AS7" s="46">
        <f>AQ7/M7</f>
        <v>0.58327386224686462</v>
      </c>
      <c r="AT7" s="45">
        <f>AV7+AX7</f>
        <v>8619516.708039999</v>
      </c>
      <c r="AU7" s="47">
        <f>AT7/K7</f>
        <v>0.94904518877496213</v>
      </c>
      <c r="AV7" s="45">
        <f>AV124+AV162+AV206+AV213+AV266+AV259</f>
        <v>7801931.2298399983</v>
      </c>
      <c r="AW7" s="48">
        <f>AV7/L7</f>
        <v>0.95625826850661211</v>
      </c>
      <c r="AX7" s="45">
        <f>AX124+AX162+AX206+AX213+AX266+AX259</f>
        <v>817585.47820000001</v>
      </c>
      <c r="AY7" s="48">
        <f>AX7/M7</f>
        <v>0.88531950408450411</v>
      </c>
      <c r="AZ7" s="45">
        <f>BB7+BD7</f>
        <v>462787.07474000013</v>
      </c>
      <c r="BA7" s="49">
        <f>AZ7/K7</f>
        <v>5.095481122503763E-2</v>
      </c>
      <c r="BB7" s="45">
        <f>BB124+BB162+BB206+BB213+BB266+BB259</f>
        <v>356880.55437000014</v>
      </c>
      <c r="BC7" s="48">
        <f>BB7/L7</f>
        <v>4.3741731493387559E-2</v>
      </c>
      <c r="BD7" s="45">
        <f>BD124+BD162+BD206+BD213+BD266+BD259</f>
        <v>105906.52037</v>
      </c>
      <c r="BE7" s="48">
        <f>BD7/M7</f>
        <v>0.11468049591549585</v>
      </c>
      <c r="BF7" s="45">
        <f>BF124+BF162+BF206+BF213+BF266+BF259</f>
        <v>8619517.1070799995</v>
      </c>
      <c r="BG7" s="48">
        <f>BF7/AT7</f>
        <v>1.000000046294939</v>
      </c>
      <c r="BH7" s="45">
        <f>BH124+BH162+BH206+BH213+BH266+BH259</f>
        <v>7801931.6288799988</v>
      </c>
      <c r="BI7" s="48">
        <f>BH7/AV7</f>
        <v>1.000000051146311</v>
      </c>
      <c r="BJ7" s="45">
        <f>BJ124+BJ162+BJ206+BJ213+BJ266+BJ259</f>
        <v>817585.47820000001</v>
      </c>
      <c r="BK7" s="50">
        <f>BJ7/AX7</f>
        <v>1</v>
      </c>
      <c r="BL7" s="45">
        <f>BN7+BP7</f>
        <v>-0.3990400000484442</v>
      </c>
      <c r="BM7" s="48">
        <f>BL7/AT7</f>
        <v>-4.629493898146667E-8</v>
      </c>
      <c r="BN7" s="45">
        <f>BN124+BN162+BN206+BN213+BN266+BN259</f>
        <v>-0.3990400000475347</v>
      </c>
      <c r="BO7" s="48">
        <f>BN7/AV7</f>
        <v>-5.1146310867407914E-8</v>
      </c>
      <c r="BP7" s="45">
        <f>BP124+BP162+BP206+BP213+BP266+BP259</f>
        <v>-9.0949470177292824E-13</v>
      </c>
      <c r="BQ7" s="48">
        <f>BP7/AX7</f>
        <v>-1.1124154305862624E-18</v>
      </c>
      <c r="BR7" s="45">
        <f>BT7+BV7</f>
        <v>462786.67569999979</v>
      </c>
      <c r="BS7" s="50">
        <f>BR7/K7</f>
        <v>5.0954767289048492E-2</v>
      </c>
      <c r="BT7" s="45">
        <f>BT124+BT162+BT206+BT213+BT266+BT259</f>
        <v>356880.1553299998</v>
      </c>
      <c r="BU7" s="50">
        <f>BT7/L7</f>
        <v>4.3741682584304852E-2</v>
      </c>
      <c r="BV7" s="45">
        <f>BV124+BV162+BV206+BV213+BV266+BV259</f>
        <v>105906.52037000001</v>
      </c>
      <c r="BW7" s="50">
        <f>BV7/M7</f>
        <v>0.11468049591549588</v>
      </c>
      <c r="BX7" s="51"/>
      <c r="BY7" s="52"/>
      <c r="BZ7" s="53"/>
      <c r="CA7" s="52"/>
      <c r="CB7" s="53"/>
      <c r="CC7" s="52"/>
      <c r="CD7" s="53"/>
      <c r="CE7" s="52"/>
      <c r="CF7" s="54"/>
      <c r="CG7" s="54"/>
      <c r="CH7" s="54"/>
      <c r="CI7" s="55"/>
      <c r="CJ7" s="54"/>
      <c r="CK7" s="56"/>
      <c r="CU7" s="57"/>
    </row>
    <row r="8" spans="1:104" s="58" customFormat="1" ht="35.25" customHeight="1" thickBot="1">
      <c r="B8" s="1240" t="s">
        <v>52</v>
      </c>
      <c r="C8" s="1241"/>
      <c r="D8" s="59"/>
      <c r="E8" s="60"/>
      <c r="F8" s="60"/>
      <c r="G8" s="60"/>
      <c r="H8" s="60"/>
      <c r="I8" s="60"/>
      <c r="J8" s="60"/>
      <c r="K8" s="61"/>
      <c r="L8" s="62">
        <f>L7/K7</f>
        <v>0.89831963115779767</v>
      </c>
      <c r="M8" s="62">
        <f>M7/K7</f>
        <v>0.10168036884220234</v>
      </c>
      <c r="N8" s="63">
        <v>1</v>
      </c>
      <c r="O8" s="64">
        <f>O7/N7</f>
        <v>1</v>
      </c>
      <c r="P8" s="64">
        <f>P7/N7</f>
        <v>0</v>
      </c>
      <c r="Q8" s="63">
        <v>1</v>
      </c>
      <c r="R8" s="65">
        <f>R7/Q7</f>
        <v>0.89932979515829403</v>
      </c>
      <c r="S8" s="65">
        <f>S7/Q7</f>
        <v>0.10067020484170598</v>
      </c>
      <c r="T8" s="66"/>
      <c r="U8" s="66"/>
      <c r="V8" s="66"/>
      <c r="W8" s="66"/>
      <c r="X8" s="66"/>
      <c r="Y8" s="66"/>
      <c r="Z8" s="63">
        <v>1</v>
      </c>
      <c r="AA8" s="63" t="e">
        <f>AA7/Z7</f>
        <v>#DIV/0!</v>
      </c>
      <c r="AB8" s="63" t="e">
        <f>AB7/Z7</f>
        <v>#REF!</v>
      </c>
      <c r="AC8" s="63"/>
      <c r="AD8" s="63"/>
      <c r="AE8" s="63"/>
      <c r="AF8" s="63">
        <v>1</v>
      </c>
      <c r="AG8" s="63" t="e">
        <f>AG7/AF7</f>
        <v>#REF!</v>
      </c>
      <c r="AH8" s="63" t="e">
        <f>AH7/AF7</f>
        <v>#REF!</v>
      </c>
      <c r="AI8" s="63"/>
      <c r="AJ8" s="63"/>
      <c r="AK8" s="63">
        <f>AK7/K7</f>
        <v>0.29425951791517352</v>
      </c>
      <c r="AL8" s="63"/>
      <c r="AM8" s="50"/>
      <c r="AN8" s="64">
        <f>AN7/L7</f>
        <v>0.26154612269029331</v>
      </c>
      <c r="AO8" s="63">
        <v>1</v>
      </c>
      <c r="AP8" s="50"/>
      <c r="AQ8" s="64">
        <f>AQ7/M7</f>
        <v>0.58327386224686462</v>
      </c>
      <c r="AR8" s="63"/>
      <c r="AS8" s="50"/>
      <c r="AT8" s="63">
        <f>AT7/K7</f>
        <v>0.94904518877496213</v>
      </c>
      <c r="AU8" s="67"/>
      <c r="AV8" s="62">
        <f>AV7/L7</f>
        <v>0.95625826850661211</v>
      </c>
      <c r="AW8" s="68"/>
      <c r="AX8" s="62">
        <f>AX7/M7</f>
        <v>0.88531950408450411</v>
      </c>
      <c r="AY8" s="63"/>
      <c r="AZ8" s="63">
        <f>AZ7/K7</f>
        <v>5.095481122503763E-2</v>
      </c>
      <c r="BA8" s="67"/>
      <c r="BB8" s="62">
        <f>BB7/L7</f>
        <v>4.3741731493387559E-2</v>
      </c>
      <c r="BC8" s="68"/>
      <c r="BD8" s="62">
        <f>BD7/M7</f>
        <v>0.11468049591549585</v>
      </c>
      <c r="BE8" s="63"/>
      <c r="BF8" s="63">
        <f>BF7/K7</f>
        <v>0.94904523271095131</v>
      </c>
      <c r="BG8" s="63"/>
      <c r="BH8" s="65">
        <f>BH7/L7</f>
        <v>0.95625831741569489</v>
      </c>
      <c r="BI8" s="65"/>
      <c r="BJ8" s="65">
        <f>BJ7/M7</f>
        <v>0.88531950408450411</v>
      </c>
      <c r="BK8" s="61"/>
      <c r="BL8" s="61">
        <f>BL7/AT7</f>
        <v>-4.629493898146667E-8</v>
      </c>
      <c r="BM8" s="61"/>
      <c r="BN8" s="62">
        <f>BN7/AV7</f>
        <v>-5.1146310867407914E-8</v>
      </c>
      <c r="BO8" s="62"/>
      <c r="BP8" s="62">
        <f>BP7/AX7</f>
        <v>-1.1124154305862624E-18</v>
      </c>
      <c r="BQ8" s="62"/>
      <c r="BR8" s="63">
        <f>BR7/K7</f>
        <v>5.0954767289048492E-2</v>
      </c>
      <c r="BS8" s="61"/>
      <c r="BT8" s="65">
        <f>BT7/L7</f>
        <v>4.3741682584304852E-2</v>
      </c>
      <c r="BU8" s="62"/>
      <c r="BV8" s="65">
        <f>BV7/M7</f>
        <v>0.11468049591549588</v>
      </c>
      <c r="BW8" s="62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1"/>
    </row>
    <row r="9" spans="1:104" s="72" customFormat="1" ht="32.25" customHeight="1" thickBot="1">
      <c r="B9" s="1229" t="s">
        <v>53</v>
      </c>
      <c r="C9" s="1230"/>
      <c r="D9" s="73"/>
      <c r="E9" s="74"/>
      <c r="F9" s="74"/>
      <c r="G9" s="74"/>
      <c r="H9" s="74"/>
      <c r="I9" s="74"/>
      <c r="J9" s="74"/>
      <c r="K9" s="75">
        <f>L9+M9</f>
        <v>8941820.1440600008</v>
      </c>
      <c r="L9" s="75">
        <f>L207</f>
        <v>8053399.4218800003</v>
      </c>
      <c r="M9" s="75">
        <f>M207+M213</f>
        <v>888420.72218000004</v>
      </c>
      <c r="N9" s="75">
        <f>O9+P9</f>
        <v>100154.14708000013</v>
      </c>
      <c r="O9" s="75">
        <f>O207</f>
        <v>100154.14708000013</v>
      </c>
      <c r="P9" s="75">
        <f>P207+P213</f>
        <v>0</v>
      </c>
      <c r="Q9" s="75">
        <f>R9+S9</f>
        <v>9031645.513629999</v>
      </c>
      <c r="R9" s="75">
        <f>R207</f>
        <v>8143224.7914499994</v>
      </c>
      <c r="S9" s="75">
        <f>S207+S213</f>
        <v>888420.72218000004</v>
      </c>
      <c r="T9" s="75"/>
      <c r="U9" s="76"/>
      <c r="V9" s="75"/>
      <c r="W9" s="76"/>
      <c r="X9" s="75"/>
      <c r="Y9" s="76"/>
      <c r="Z9" s="75" t="e">
        <f>Z197+#REF!</f>
        <v>#REF!</v>
      </c>
      <c r="AA9" s="77" t="e">
        <f>AA197+#REF!</f>
        <v>#REF!</v>
      </c>
      <c r="AB9" s="78" t="e">
        <f>AB197+#REF!</f>
        <v>#REF!</v>
      </c>
      <c r="AC9" s="76" t="e">
        <f>AC197+#REF!</f>
        <v>#REF!</v>
      </c>
      <c r="AD9" s="75" t="e">
        <f>AD197+#REF!</f>
        <v>#REF!</v>
      </c>
      <c r="AE9" s="75" t="e">
        <f>AE197+#REF!</f>
        <v>#REF!</v>
      </c>
      <c r="AF9" s="75" t="e">
        <f>AF197+#REF!</f>
        <v>#REF!</v>
      </c>
      <c r="AG9" s="75" t="e">
        <f>AG197+#REF!</f>
        <v>#REF!</v>
      </c>
      <c r="AH9" s="75" t="e">
        <f>AH197+#REF!</f>
        <v>#REF!</v>
      </c>
      <c r="AI9" s="75" t="e">
        <f>AI197+#REF!</f>
        <v>#REF!</v>
      </c>
      <c r="AJ9" s="75" t="e">
        <f>AJ197+#REF!</f>
        <v>#REF!</v>
      </c>
      <c r="AK9" s="75">
        <f>AN9+AQ9</f>
        <v>2557060.3992900001</v>
      </c>
      <c r="AL9" s="75" t="e">
        <f>AL197+#REF!</f>
        <v>#REF!</v>
      </c>
      <c r="AM9" s="46">
        <f>AK9/K9</f>
        <v>0.28596643167651281</v>
      </c>
      <c r="AN9" s="75">
        <f>AN207</f>
        <v>2041305.64188</v>
      </c>
      <c r="AO9" s="75">
        <v>1</v>
      </c>
      <c r="AP9" s="46">
        <f t="shared" ref="AP9:AP16" si="1">AN9/L9</f>
        <v>0.25347130260720063</v>
      </c>
      <c r="AQ9" s="75">
        <f>AQ207+AQ213</f>
        <v>515754.75740999996</v>
      </c>
      <c r="AR9" s="75" t="e">
        <f>AR197+#REF!</f>
        <v>#REF!</v>
      </c>
      <c r="AS9" s="46">
        <f t="shared" ref="AS9:AS17" si="2">AQ9/M9</f>
        <v>0.58052985993442929</v>
      </c>
      <c r="AT9" s="75">
        <f>AV9+AX9</f>
        <v>8484384.5396499988</v>
      </c>
      <c r="AU9" s="79">
        <f t="shared" ref="AU9:AU16" si="3">AT9/K9</f>
        <v>0.94884312175369867</v>
      </c>
      <c r="AV9" s="75">
        <f>AV207</f>
        <v>7700396.9727999987</v>
      </c>
      <c r="AW9" s="80">
        <f>AV9/L9</f>
        <v>0.95616727414252656</v>
      </c>
      <c r="AX9" s="75">
        <f>AX207+AX213</f>
        <v>783987.56684999994</v>
      </c>
      <c r="AY9" s="80">
        <f t="shared" ref="AY9:AY16" si="4">AX9/M9</f>
        <v>0.88245078854785963</v>
      </c>
      <c r="AZ9" s="75">
        <f t="shared" ref="AZ9:AZ16" si="5">BB9+BD9</f>
        <v>457435.60441000015</v>
      </c>
      <c r="BA9" s="80">
        <f t="shared" ref="BA9:BA16" si="6">AZ9/K9</f>
        <v>5.1156878246301114E-2</v>
      </c>
      <c r="BB9" s="75">
        <f>BB207</f>
        <v>353002.44908000017</v>
      </c>
      <c r="BC9" s="80">
        <f>BB9/L9</f>
        <v>4.3832725857473318E-2</v>
      </c>
      <c r="BD9" s="75">
        <f>BD207+BD213</f>
        <v>104433.15532999999</v>
      </c>
      <c r="BE9" s="80">
        <f t="shared" ref="BE9:BE16" si="7">BD9/M9</f>
        <v>0.11754921145214027</v>
      </c>
      <c r="BF9" s="75">
        <f>BH9+BJ9</f>
        <v>8484384.9386899993</v>
      </c>
      <c r="BG9" s="80">
        <f>BF9/AT9</f>
        <v>1.0000000470322861</v>
      </c>
      <c r="BH9" s="75">
        <f>BH207</f>
        <v>7700397.3718399992</v>
      </c>
      <c r="BI9" s="80">
        <f>BH9/AV9</f>
        <v>1.0000000518207051</v>
      </c>
      <c r="BJ9" s="75">
        <f>BJ207+BJ213</f>
        <v>783987.56684999994</v>
      </c>
      <c r="BK9" s="79">
        <f>BJ9/AX9</f>
        <v>1</v>
      </c>
      <c r="BL9" s="75">
        <f t="shared" ref="BL9:BL16" si="8">BN9+BP9</f>
        <v>-0.3990400000484442</v>
      </c>
      <c r="BM9" s="80">
        <f t="shared" ref="BM9:BM16" si="9">BL9/AT9</f>
        <v>-4.7032285981807412E-8</v>
      </c>
      <c r="BN9" s="75">
        <f>BN207</f>
        <v>-0.3990400000475347</v>
      </c>
      <c r="BO9" s="80">
        <f t="shared" ref="BO9:BO16" si="10">BN9/AV9</f>
        <v>-5.1820705017813751E-8</v>
      </c>
      <c r="BP9" s="75">
        <f>BP207+BP213</f>
        <v>-9.0949470177292824E-13</v>
      </c>
      <c r="BQ9" s="80">
        <f t="shared" ref="BQ9:BQ16" si="11">BP9/AX9</f>
        <v>-1.1600881700550508E-18</v>
      </c>
      <c r="BR9" s="75">
        <f t="shared" ref="BR9:BR16" si="12">BT9+BV9</f>
        <v>457435.20536999987</v>
      </c>
      <c r="BS9" s="79">
        <f t="shared" ref="BS9:BS16" si="13">BR9/K9</f>
        <v>5.1156833620040032E-2</v>
      </c>
      <c r="BT9" s="75">
        <f>BT207</f>
        <v>353002.05003999983</v>
      </c>
      <c r="BU9" s="79">
        <f t="shared" ref="BU9:BU16" si="14">BT9/L9</f>
        <v>4.383267630821102E-2</v>
      </c>
      <c r="BV9" s="75">
        <f>BV207+BV213</f>
        <v>104433.15533000001</v>
      </c>
      <c r="BW9" s="79">
        <f t="shared" ref="BW9:BW16" si="15">BV9/M9</f>
        <v>0.11754921145214028</v>
      </c>
      <c r="BX9" s="81"/>
      <c r="BY9" s="82"/>
      <c r="BZ9" s="83"/>
      <c r="CA9" s="82"/>
      <c r="CB9" s="83"/>
      <c r="CC9" s="82"/>
      <c r="CD9" s="83"/>
      <c r="CE9" s="82"/>
      <c r="CF9" s="84"/>
      <c r="CG9" s="84"/>
      <c r="CH9" s="84"/>
      <c r="CI9" s="85"/>
      <c r="CJ9" s="84"/>
      <c r="CK9" s="86"/>
      <c r="CN9" s="87"/>
      <c r="CP9" s="87"/>
    </row>
    <row r="10" spans="1:104" s="88" customFormat="1" ht="32.25" customHeight="1" thickBot="1">
      <c r="B10" s="1227" t="s">
        <v>54</v>
      </c>
      <c r="C10" s="1228"/>
      <c r="D10" s="89"/>
      <c r="E10" s="677"/>
      <c r="F10" s="677"/>
      <c r="G10" s="677"/>
      <c r="H10" s="677"/>
      <c r="I10" s="677"/>
      <c r="J10" s="677"/>
      <c r="K10" s="90">
        <f>L10+M10</f>
        <v>8259306.8690600004</v>
      </c>
      <c r="L10" s="90">
        <f>L209+L215</f>
        <v>7396899.4218800003</v>
      </c>
      <c r="M10" s="90">
        <f>M209+M215</f>
        <v>862407.44718000002</v>
      </c>
      <c r="N10" s="90">
        <f>O10+P10</f>
        <v>100154.14708000013</v>
      </c>
      <c r="O10" s="90">
        <f>O209+O215</f>
        <v>100154.14708000013</v>
      </c>
      <c r="P10" s="90">
        <f>P209+P215</f>
        <v>0</v>
      </c>
      <c r="Q10" s="90">
        <f>R10+S10</f>
        <v>8349132.2386299996</v>
      </c>
      <c r="R10" s="90">
        <f>R209+R215</f>
        <v>7486724.7914499994</v>
      </c>
      <c r="S10" s="90">
        <f>S209+S215</f>
        <v>862407.44718000002</v>
      </c>
      <c r="T10" s="90"/>
      <c r="U10" s="91"/>
      <c r="V10" s="90"/>
      <c r="W10" s="91"/>
      <c r="X10" s="90"/>
      <c r="Y10" s="91"/>
      <c r="Z10" s="90"/>
      <c r="AA10" s="92"/>
      <c r="AB10" s="93"/>
      <c r="AC10" s="91"/>
      <c r="AD10" s="90"/>
      <c r="AE10" s="90"/>
      <c r="AF10" s="90"/>
      <c r="AG10" s="90"/>
      <c r="AH10" s="90"/>
      <c r="AI10" s="90"/>
      <c r="AJ10" s="90"/>
      <c r="AK10" s="90">
        <f>AN10+AQ10</f>
        <v>2455503.3860900002</v>
      </c>
      <c r="AL10" s="90"/>
      <c r="AM10" s="46">
        <f t="shared" ref="AM10:AM17" si="16">AK10/K10</f>
        <v>0.29730138678930856</v>
      </c>
      <c r="AN10" s="90">
        <f>AN209+AN215</f>
        <v>1946880.34828</v>
      </c>
      <c r="AO10" s="90"/>
      <c r="AP10" s="46">
        <f t="shared" si="1"/>
        <v>0.26320221990867354</v>
      </c>
      <c r="AQ10" s="90">
        <f>AQ209+AQ215</f>
        <v>508623.03781000001</v>
      </c>
      <c r="AR10" s="90"/>
      <c r="AS10" s="46">
        <f t="shared" si="2"/>
        <v>0.58977115686228665</v>
      </c>
      <c r="AT10" s="90">
        <f t="shared" ref="AT10:AT16" si="17">AV10+AX10</f>
        <v>7820752.8200499984</v>
      </c>
      <c r="AU10" s="94">
        <f t="shared" si="3"/>
        <v>0.94690183377822423</v>
      </c>
      <c r="AV10" s="90">
        <f>AV209+AV215</f>
        <v>7043896.9727999987</v>
      </c>
      <c r="AW10" s="95">
        <f>AV10/L10</f>
        <v>0.95227697053229876</v>
      </c>
      <c r="AX10" s="90">
        <f>AX209+AX215</f>
        <v>776855.84724999999</v>
      </c>
      <c r="AY10" s="95">
        <f t="shared" si="4"/>
        <v>0.90079909419874959</v>
      </c>
      <c r="AZ10" s="90">
        <f t="shared" si="5"/>
        <v>438554.04901000019</v>
      </c>
      <c r="BA10" s="95">
        <f t="shared" si="6"/>
        <v>5.3098166221775517E-2</v>
      </c>
      <c r="BB10" s="90">
        <f>BB209+BB215</f>
        <v>353002.44908000017</v>
      </c>
      <c r="BC10" s="95">
        <f>BB10/L10</f>
        <v>4.7723029467701059E-2</v>
      </c>
      <c r="BD10" s="90">
        <f>BD209+BD215</f>
        <v>85551.599929999997</v>
      </c>
      <c r="BE10" s="95">
        <f t="shared" si="7"/>
        <v>9.9200905801250377E-2</v>
      </c>
      <c r="BF10" s="90">
        <f>BH10+BJ10</f>
        <v>7820753.2190799993</v>
      </c>
      <c r="BG10" s="95">
        <f t="shared" ref="BG10:BG16" si="18">BF10/AT10</f>
        <v>1.0000000510219424</v>
      </c>
      <c r="BH10" s="90">
        <f>BH209+BH215</f>
        <v>7043897.3718399992</v>
      </c>
      <c r="BI10" s="95">
        <f t="shared" ref="BI10:BI16" si="19">BH10/AV10</f>
        <v>1.0000000566504597</v>
      </c>
      <c r="BJ10" s="90">
        <f>BJ209+BJ215</f>
        <v>776855.84723999992</v>
      </c>
      <c r="BK10" s="94">
        <f t="shared" ref="BK10:BK16" si="20">BJ10/AX10</f>
        <v>0.99999999998712752</v>
      </c>
      <c r="BL10" s="90">
        <f t="shared" si="8"/>
        <v>-0.39903000004778733</v>
      </c>
      <c r="BM10" s="95">
        <f t="shared" si="9"/>
        <v>-5.1021942417716806E-8</v>
      </c>
      <c r="BN10" s="90">
        <f>BN209+BN215</f>
        <v>-0.3990400000475347</v>
      </c>
      <c r="BO10" s="95">
        <f t="shared" si="10"/>
        <v>-5.66504594812257E-8</v>
      </c>
      <c r="BP10" s="90">
        <f>BP209+BP215</f>
        <v>9.9999997473787516E-6</v>
      </c>
      <c r="BQ10" s="95">
        <f t="shared" si="11"/>
        <v>1.2872400694128588E-11</v>
      </c>
      <c r="BR10" s="90">
        <f t="shared" si="12"/>
        <v>438553.64997999981</v>
      </c>
      <c r="BS10" s="94">
        <f t="shared" si="13"/>
        <v>5.3098117909004636E-2</v>
      </c>
      <c r="BT10" s="90">
        <f>BT209+BT215</f>
        <v>353002.05003999983</v>
      </c>
      <c r="BU10" s="94">
        <f t="shared" si="14"/>
        <v>4.7722975520773085E-2</v>
      </c>
      <c r="BV10" s="90">
        <f>BV209+BV215</f>
        <v>85551.59994</v>
      </c>
      <c r="BW10" s="94">
        <f t="shared" si="15"/>
        <v>9.9200905812845838E-2</v>
      </c>
      <c r="BX10" s="96"/>
      <c r="BY10" s="97"/>
      <c r="BZ10" s="98"/>
      <c r="CA10" s="97"/>
      <c r="CB10" s="98"/>
      <c r="CC10" s="97"/>
      <c r="CD10" s="98"/>
      <c r="CE10" s="97"/>
      <c r="CF10" s="99"/>
      <c r="CG10" s="99"/>
      <c r="CH10" s="99"/>
      <c r="CI10" s="100"/>
      <c r="CJ10" s="99"/>
      <c r="CK10" s="101"/>
      <c r="CN10" s="102"/>
      <c r="CQ10" s="103"/>
    </row>
    <row r="11" spans="1:104" s="104" customFormat="1" ht="32.25" customHeight="1" thickBot="1">
      <c r="B11" s="1242" t="s">
        <v>55</v>
      </c>
      <c r="C11" s="1243"/>
      <c r="D11" s="105"/>
      <c r="E11" s="106"/>
      <c r="F11" s="106"/>
      <c r="G11" s="106"/>
      <c r="H11" s="106"/>
      <c r="I11" s="106"/>
      <c r="J11" s="106"/>
      <c r="K11" s="107">
        <f>L11+M11</f>
        <v>682513.27500000002</v>
      </c>
      <c r="L11" s="107">
        <f>L163+L216</f>
        <v>656500</v>
      </c>
      <c r="M11" s="107">
        <f>M163+M216</f>
        <v>26013.275000000001</v>
      </c>
      <c r="N11" s="107">
        <f>O11+P11</f>
        <v>0</v>
      </c>
      <c r="O11" s="107">
        <f>O163+O216</f>
        <v>0</v>
      </c>
      <c r="P11" s="107">
        <f>P163+P216</f>
        <v>0</v>
      </c>
      <c r="Q11" s="107">
        <f>R11+S11</f>
        <v>682513.27500000002</v>
      </c>
      <c r="R11" s="107">
        <f>R163+R216</f>
        <v>656500</v>
      </c>
      <c r="S11" s="107">
        <f>S163+S216</f>
        <v>26013.275000000001</v>
      </c>
      <c r="T11" s="107"/>
      <c r="U11" s="108"/>
      <c r="V11" s="107"/>
      <c r="W11" s="108"/>
      <c r="X11" s="107"/>
      <c r="Y11" s="108"/>
      <c r="Z11" s="107"/>
      <c r="AA11" s="109"/>
      <c r="AB11" s="110"/>
      <c r="AC11" s="108"/>
      <c r="AD11" s="107"/>
      <c r="AE11" s="107"/>
      <c r="AF11" s="107"/>
      <c r="AG11" s="107"/>
      <c r="AH11" s="107"/>
      <c r="AI11" s="107"/>
      <c r="AJ11" s="107"/>
      <c r="AK11" s="107">
        <f>AN11+AQ11</f>
        <v>101557.0132</v>
      </c>
      <c r="AL11" s="107"/>
      <c r="AM11" s="108">
        <f t="shared" si="16"/>
        <v>0.1487985903277852</v>
      </c>
      <c r="AN11" s="107">
        <f>AN208</f>
        <v>94425.293600000005</v>
      </c>
      <c r="AO11" s="107"/>
      <c r="AP11" s="108">
        <f t="shared" si="1"/>
        <v>0.14383136877380046</v>
      </c>
      <c r="AQ11" s="107">
        <f>AQ163+AQ216</f>
        <v>7131.7196000000004</v>
      </c>
      <c r="AR11" s="107"/>
      <c r="AS11" s="108">
        <v>0</v>
      </c>
      <c r="AT11" s="107">
        <f t="shared" si="17"/>
        <v>663631.71959999995</v>
      </c>
      <c r="AU11" s="111">
        <f t="shared" si="3"/>
        <v>0.97233525545711907</v>
      </c>
      <c r="AV11" s="107">
        <f>AV163+AV216</f>
        <v>656500</v>
      </c>
      <c r="AW11" s="112">
        <f>AV11/L11</f>
        <v>1</v>
      </c>
      <c r="AX11" s="107">
        <f>AX163+AX216</f>
        <v>7131.7196000000004</v>
      </c>
      <c r="AY11" s="112">
        <f t="shared" si="4"/>
        <v>0.27415692949080805</v>
      </c>
      <c r="AZ11" s="107">
        <f t="shared" si="5"/>
        <v>18881.555400000001</v>
      </c>
      <c r="BA11" s="112">
        <f t="shared" si="6"/>
        <v>2.766474454288087E-2</v>
      </c>
      <c r="BB11" s="107">
        <f>BB163+BB216</f>
        <v>0</v>
      </c>
      <c r="BC11" s="112">
        <f>BB11/L11</f>
        <v>0</v>
      </c>
      <c r="BD11" s="107">
        <f>BD163+BD216</f>
        <v>18881.555400000001</v>
      </c>
      <c r="BE11" s="112">
        <f t="shared" si="7"/>
        <v>0.72584307050919195</v>
      </c>
      <c r="BF11" s="107">
        <f>BH11+BJ11</f>
        <v>663631.71961000003</v>
      </c>
      <c r="BG11" s="112">
        <f t="shared" si="18"/>
        <v>1.0000000000150686</v>
      </c>
      <c r="BH11" s="107">
        <f>BH163+BH216</f>
        <v>656500</v>
      </c>
      <c r="BI11" s="112">
        <f t="shared" si="19"/>
        <v>1</v>
      </c>
      <c r="BJ11" s="107">
        <f>BJ163+BJ216</f>
        <v>7131.7196100000001</v>
      </c>
      <c r="BK11" s="111">
        <f t="shared" si="20"/>
        <v>1.0000000014021864</v>
      </c>
      <c r="BL11" s="107">
        <f t="shared" si="8"/>
        <v>-1.0000000656873453E-5</v>
      </c>
      <c r="BM11" s="112">
        <f t="shared" si="9"/>
        <v>-1.5068599588489974E-11</v>
      </c>
      <c r="BN11" s="107">
        <f>BN163+BN216</f>
        <v>0</v>
      </c>
      <c r="BO11" s="112">
        <f t="shared" si="10"/>
        <v>0</v>
      </c>
      <c r="BP11" s="107">
        <f>BP163+BP216</f>
        <v>-1.0000000656873453E-5</v>
      </c>
      <c r="BQ11" s="112">
        <f t="shared" si="11"/>
        <v>-1.402186459612553E-9</v>
      </c>
      <c r="BR11" s="107">
        <f t="shared" si="12"/>
        <v>18881.555390000001</v>
      </c>
      <c r="BS11" s="111">
        <f t="shared" si="13"/>
        <v>2.7664744528229139E-2</v>
      </c>
      <c r="BT11" s="107">
        <f>BT163+BT216</f>
        <v>0</v>
      </c>
      <c r="BU11" s="111">
        <f t="shared" si="14"/>
        <v>0</v>
      </c>
      <c r="BV11" s="107">
        <f>BV163+BV216</f>
        <v>18881.555390000001</v>
      </c>
      <c r="BW11" s="111">
        <f t="shared" si="15"/>
        <v>0.72584307012477289</v>
      </c>
      <c r="BX11" s="113"/>
      <c r="BY11" s="114"/>
      <c r="BZ11" s="115"/>
      <c r="CA11" s="114"/>
      <c r="CB11" s="115"/>
      <c r="CC11" s="114"/>
      <c r="CD11" s="115"/>
      <c r="CE11" s="114"/>
      <c r="CF11" s="116"/>
      <c r="CG11" s="116"/>
      <c r="CH11" s="116"/>
      <c r="CI11" s="117"/>
      <c r="CJ11" s="116"/>
      <c r="CK11" s="118"/>
      <c r="CQ11" s="119"/>
    </row>
    <row r="12" spans="1:104" s="104" customFormat="1" ht="59.25" customHeight="1" thickBot="1">
      <c r="B12" s="1229" t="s">
        <v>56</v>
      </c>
      <c r="C12" s="1230"/>
      <c r="D12" s="105"/>
      <c r="E12" s="106"/>
      <c r="F12" s="106"/>
      <c r="G12" s="106"/>
      <c r="H12" s="106"/>
      <c r="I12" s="106"/>
      <c r="J12" s="106"/>
      <c r="K12" s="120">
        <f>L12+M12</f>
        <v>882618.41873999999</v>
      </c>
      <c r="L12" s="120">
        <v>0</v>
      </c>
      <c r="M12" s="120">
        <f>M13+M14</f>
        <v>882618.41873999999</v>
      </c>
      <c r="N12" s="120">
        <f>O12+P12</f>
        <v>0</v>
      </c>
      <c r="O12" s="120">
        <v>0</v>
      </c>
      <c r="P12" s="120">
        <f>P13+P14+P15-P262</f>
        <v>0</v>
      </c>
      <c r="Q12" s="120">
        <f>R12+S12</f>
        <v>900792.34273999999</v>
      </c>
      <c r="R12" s="120">
        <v>0</v>
      </c>
      <c r="S12" s="120">
        <f>S13+S14+S15-S262</f>
        <v>900792.34273999999</v>
      </c>
      <c r="T12" s="120"/>
      <c r="U12" s="121"/>
      <c r="V12" s="120"/>
      <c r="W12" s="121"/>
      <c r="X12" s="120"/>
      <c r="Y12" s="121"/>
      <c r="Z12" s="120"/>
      <c r="AA12" s="122"/>
      <c r="AB12" s="123"/>
      <c r="AC12" s="121"/>
      <c r="AD12" s="120"/>
      <c r="AE12" s="120"/>
      <c r="AF12" s="120"/>
      <c r="AG12" s="120"/>
      <c r="AH12" s="120"/>
      <c r="AI12" s="120"/>
      <c r="AJ12" s="120"/>
      <c r="AK12" s="120"/>
      <c r="AL12" s="120"/>
      <c r="AM12" s="121"/>
      <c r="AN12" s="120"/>
      <c r="AO12" s="120"/>
      <c r="AP12" s="121"/>
      <c r="AQ12" s="120"/>
      <c r="AR12" s="120"/>
      <c r="AS12" s="121"/>
      <c r="AT12" s="120">
        <f t="shared" si="17"/>
        <v>778185.26341000001</v>
      </c>
      <c r="AU12" s="124">
        <f t="shared" si="3"/>
        <v>0.88167802403321061</v>
      </c>
      <c r="AV12" s="120">
        <v>0</v>
      </c>
      <c r="AW12" s="125">
        <v>0</v>
      </c>
      <c r="AX12" s="120">
        <f>AX13+AX14</f>
        <v>778185.26341000001</v>
      </c>
      <c r="AY12" s="125">
        <f t="shared" si="4"/>
        <v>0.88167802403321061</v>
      </c>
      <c r="AZ12" s="120">
        <f t="shared" si="5"/>
        <v>104433.15532999999</v>
      </c>
      <c r="BA12" s="125">
        <f t="shared" si="6"/>
        <v>0.11832197596678946</v>
      </c>
      <c r="BB12" s="120">
        <v>0</v>
      </c>
      <c r="BC12" s="125">
        <v>0</v>
      </c>
      <c r="BD12" s="120">
        <f>BD13+BD14</f>
        <v>104433.15532999999</v>
      </c>
      <c r="BE12" s="125">
        <f t="shared" si="7"/>
        <v>0.11832197596678946</v>
      </c>
      <c r="BF12" s="120">
        <f t="shared" ref="BF12" si="21">BH12+BJ12</f>
        <v>778185.26341000001</v>
      </c>
      <c r="BG12" s="125">
        <f t="shared" si="18"/>
        <v>1</v>
      </c>
      <c r="BH12" s="120">
        <v>0</v>
      </c>
      <c r="BI12" s="125">
        <v>0</v>
      </c>
      <c r="BJ12" s="120">
        <f>BJ13+BJ14</f>
        <v>778185.26341000001</v>
      </c>
      <c r="BK12" s="124">
        <f t="shared" si="20"/>
        <v>1</v>
      </c>
      <c r="BL12" s="120">
        <f t="shared" si="8"/>
        <v>-9.0949470177292824E-13</v>
      </c>
      <c r="BM12" s="125">
        <f t="shared" si="9"/>
        <v>-1.1687380172011118E-18</v>
      </c>
      <c r="BN12" s="120">
        <v>0</v>
      </c>
      <c r="BO12" s="125">
        <v>0</v>
      </c>
      <c r="BP12" s="120">
        <f>BP13+BP14</f>
        <v>-9.0949470177292824E-13</v>
      </c>
      <c r="BQ12" s="125">
        <f t="shared" si="11"/>
        <v>-1.1687380172011118E-18</v>
      </c>
      <c r="BR12" s="120">
        <f t="shared" si="12"/>
        <v>104433.15533000001</v>
      </c>
      <c r="BS12" s="124">
        <f t="shared" si="13"/>
        <v>0.11832197596678948</v>
      </c>
      <c r="BT12" s="120">
        <v>0</v>
      </c>
      <c r="BU12" s="124">
        <v>0</v>
      </c>
      <c r="BV12" s="120">
        <f>BV13+BV14</f>
        <v>104433.15533000001</v>
      </c>
      <c r="BW12" s="124">
        <f t="shared" si="15"/>
        <v>0.11832197596678948</v>
      </c>
      <c r="BX12" s="113"/>
      <c r="BY12" s="114"/>
      <c r="BZ12" s="115"/>
      <c r="CA12" s="114"/>
      <c r="CB12" s="115"/>
      <c r="CC12" s="114"/>
      <c r="CD12" s="115"/>
      <c r="CE12" s="114"/>
      <c r="CF12" s="116"/>
      <c r="CG12" s="116"/>
      <c r="CH12" s="116"/>
      <c r="CI12" s="117"/>
      <c r="CJ12" s="116"/>
      <c r="CK12" s="118"/>
      <c r="CQ12" s="119"/>
      <c r="CZ12" s="1142"/>
    </row>
    <row r="13" spans="1:104" s="126" customFormat="1" ht="41.25" customHeight="1" thickBot="1">
      <c r="B13" s="1227" t="s">
        <v>57</v>
      </c>
      <c r="C13" s="1228"/>
      <c r="D13" s="89"/>
      <c r="E13" s="677"/>
      <c r="F13" s="677"/>
      <c r="G13" s="677"/>
      <c r="H13" s="677"/>
      <c r="I13" s="677"/>
      <c r="J13" s="677"/>
      <c r="K13" s="90">
        <f t="shared" ref="K13:K16" si="22">L13+M13</f>
        <v>856605.14373999997</v>
      </c>
      <c r="L13" s="90">
        <v>0</v>
      </c>
      <c r="M13" s="90">
        <f>M210+M215</f>
        <v>856605.14373999997</v>
      </c>
      <c r="N13" s="90">
        <f t="shared" ref="N13:N14" si="23">O13+P13</f>
        <v>0</v>
      </c>
      <c r="O13" s="90">
        <v>0</v>
      </c>
      <c r="P13" s="90">
        <f>P210+P215</f>
        <v>0</v>
      </c>
      <c r="Q13" s="90">
        <f t="shared" ref="Q13:Q14" si="24">R13+S13</f>
        <v>856605.14373999997</v>
      </c>
      <c r="R13" s="90">
        <v>0</v>
      </c>
      <c r="S13" s="90">
        <f>S210+S215</f>
        <v>856605.14373999997</v>
      </c>
      <c r="T13" s="90"/>
      <c r="U13" s="91"/>
      <c r="V13" s="90"/>
      <c r="W13" s="91"/>
      <c r="X13" s="90"/>
      <c r="Y13" s="91"/>
      <c r="Z13" s="90">
        <f t="shared" ref="Z13:AL13" si="25">Z231</f>
        <v>-7660.7622800000008</v>
      </c>
      <c r="AA13" s="92">
        <f t="shared" si="25"/>
        <v>-6.1438909094700342</v>
      </c>
      <c r="AB13" s="93">
        <f t="shared" si="25"/>
        <v>0</v>
      </c>
      <c r="AC13" s="91">
        <f t="shared" si="25"/>
        <v>0</v>
      </c>
      <c r="AD13" s="90">
        <f t="shared" si="25"/>
        <v>-7660.7622800000008</v>
      </c>
      <c r="AE13" s="90">
        <f t="shared" si="25"/>
        <v>0</v>
      </c>
      <c r="AF13" s="90">
        <f t="shared" si="25"/>
        <v>0</v>
      </c>
      <c r="AG13" s="90">
        <f t="shared" si="25"/>
        <v>0</v>
      </c>
      <c r="AH13" s="90">
        <f t="shared" si="25"/>
        <v>0</v>
      </c>
      <c r="AI13" s="90">
        <f t="shared" si="25"/>
        <v>0</v>
      </c>
      <c r="AJ13" s="90">
        <f t="shared" si="25"/>
        <v>0</v>
      </c>
      <c r="AK13" s="90">
        <f>AN13+AQ13</f>
        <v>508623.03781000001</v>
      </c>
      <c r="AL13" s="90">
        <f t="shared" si="25"/>
        <v>0</v>
      </c>
      <c r="AM13" s="46">
        <f t="shared" si="16"/>
        <v>0.59376603272461692</v>
      </c>
      <c r="AN13" s="90">
        <v>0</v>
      </c>
      <c r="AO13" s="90">
        <v>1</v>
      </c>
      <c r="AP13" s="46">
        <v>0</v>
      </c>
      <c r="AQ13" s="90">
        <f>AQ210+AQ215</f>
        <v>508623.03781000001</v>
      </c>
      <c r="AR13" s="90">
        <f t="shared" ref="AR13" si="26">AR231</f>
        <v>0</v>
      </c>
      <c r="AS13" s="46">
        <f t="shared" si="2"/>
        <v>0.59376603272461692</v>
      </c>
      <c r="AT13" s="90">
        <f t="shared" si="17"/>
        <v>771053.54381000006</v>
      </c>
      <c r="AU13" s="94">
        <f t="shared" si="3"/>
        <v>0.90012714661451199</v>
      </c>
      <c r="AV13" s="90">
        <v>0</v>
      </c>
      <c r="AW13" s="95">
        <v>0</v>
      </c>
      <c r="AX13" s="90">
        <f>AX210+AX215</f>
        <v>771053.54381000006</v>
      </c>
      <c r="AY13" s="95">
        <f t="shared" si="4"/>
        <v>0.90012714661451199</v>
      </c>
      <c r="AZ13" s="90">
        <f t="shared" si="5"/>
        <v>85551.599929999997</v>
      </c>
      <c r="BA13" s="95">
        <f t="shared" si="6"/>
        <v>9.9872853385488125E-2</v>
      </c>
      <c r="BB13" s="90">
        <v>0</v>
      </c>
      <c r="BC13" s="95">
        <v>0</v>
      </c>
      <c r="BD13" s="90">
        <f>BD210+BD215</f>
        <v>85551.599929999997</v>
      </c>
      <c r="BE13" s="95">
        <f t="shared" si="7"/>
        <v>9.9872853385488125E-2</v>
      </c>
      <c r="BF13" s="90">
        <f>BF210+BF215</f>
        <v>771053.54379999998</v>
      </c>
      <c r="BG13" s="95">
        <f t="shared" si="18"/>
        <v>0.9999999999870306</v>
      </c>
      <c r="BH13" s="90">
        <v>0</v>
      </c>
      <c r="BI13" s="95">
        <v>0</v>
      </c>
      <c r="BJ13" s="90">
        <f>BJ210+BJ215</f>
        <v>771053.54379999998</v>
      </c>
      <c r="BK13" s="94">
        <f t="shared" si="20"/>
        <v>0.9999999999870306</v>
      </c>
      <c r="BL13" s="90">
        <f t="shared" si="8"/>
        <v>9.9999997473787516E-6</v>
      </c>
      <c r="BM13" s="95">
        <f t="shared" si="9"/>
        <v>1.2969267604900486E-11</v>
      </c>
      <c r="BN13" s="90">
        <v>0</v>
      </c>
      <c r="BO13" s="95">
        <v>0</v>
      </c>
      <c r="BP13" s="90">
        <f>BP210+BP215</f>
        <v>9.9999997473787516E-6</v>
      </c>
      <c r="BQ13" s="95">
        <f t="shared" si="11"/>
        <v>1.2969267604900486E-11</v>
      </c>
      <c r="BR13" s="90">
        <f t="shared" si="12"/>
        <v>85551.59994</v>
      </c>
      <c r="BS13" s="94">
        <f t="shared" si="13"/>
        <v>9.987285339716212E-2</v>
      </c>
      <c r="BT13" s="90">
        <v>0</v>
      </c>
      <c r="BU13" s="94">
        <v>0</v>
      </c>
      <c r="BV13" s="90">
        <f>BV210+BV215</f>
        <v>85551.59994</v>
      </c>
      <c r="BW13" s="94">
        <f t="shared" si="15"/>
        <v>9.987285339716212E-2</v>
      </c>
      <c r="BX13" s="127"/>
      <c r="BY13" s="97"/>
      <c r="BZ13" s="98"/>
      <c r="CA13" s="97"/>
      <c r="CB13" s="98"/>
      <c r="CC13" s="97"/>
      <c r="CD13" s="98"/>
      <c r="CE13" s="97"/>
      <c r="CF13" s="99"/>
      <c r="CG13" s="99"/>
      <c r="CH13" s="99"/>
      <c r="CI13" s="128"/>
      <c r="CJ13" s="99"/>
      <c r="CK13" s="129"/>
    </row>
    <row r="14" spans="1:104" s="126" customFormat="1" ht="41.25" customHeight="1" thickBot="1">
      <c r="B14" s="1227" t="s">
        <v>58</v>
      </c>
      <c r="C14" s="1228"/>
      <c r="D14" s="89"/>
      <c r="E14" s="677"/>
      <c r="F14" s="677"/>
      <c r="G14" s="677"/>
      <c r="H14" s="677"/>
      <c r="I14" s="677"/>
      <c r="J14" s="677"/>
      <c r="K14" s="90">
        <f t="shared" si="22"/>
        <v>26013.275000000001</v>
      </c>
      <c r="L14" s="90">
        <v>0</v>
      </c>
      <c r="M14" s="90">
        <f>M216</f>
        <v>26013.275000000001</v>
      </c>
      <c r="N14" s="90">
        <f t="shared" si="23"/>
        <v>0</v>
      </c>
      <c r="O14" s="90">
        <v>0</v>
      </c>
      <c r="P14" s="90">
        <f>P216</f>
        <v>0</v>
      </c>
      <c r="Q14" s="90">
        <f t="shared" si="24"/>
        <v>26013.275000000001</v>
      </c>
      <c r="R14" s="90">
        <v>0</v>
      </c>
      <c r="S14" s="90">
        <f>S216</f>
        <v>26013.275000000001</v>
      </c>
      <c r="T14" s="90"/>
      <c r="U14" s="91"/>
      <c r="V14" s="90"/>
      <c r="W14" s="91"/>
      <c r="X14" s="90"/>
      <c r="Y14" s="91"/>
      <c r="Z14" s="90"/>
      <c r="AA14" s="92"/>
      <c r="AB14" s="93"/>
      <c r="AC14" s="91"/>
      <c r="AD14" s="90"/>
      <c r="AE14" s="90"/>
      <c r="AF14" s="90"/>
      <c r="AG14" s="90"/>
      <c r="AH14" s="90"/>
      <c r="AI14" s="90"/>
      <c r="AJ14" s="90"/>
      <c r="AK14" s="90"/>
      <c r="AL14" s="90"/>
      <c r="AM14" s="46"/>
      <c r="AN14" s="90"/>
      <c r="AO14" s="90"/>
      <c r="AP14" s="46"/>
      <c r="AQ14" s="90"/>
      <c r="AR14" s="90"/>
      <c r="AS14" s="46"/>
      <c r="AT14" s="90">
        <f t="shared" si="17"/>
        <v>7131.7196000000004</v>
      </c>
      <c r="AU14" s="94">
        <f t="shared" si="3"/>
        <v>0.27415692949080805</v>
      </c>
      <c r="AV14" s="90">
        <v>0</v>
      </c>
      <c r="AW14" s="95">
        <v>0</v>
      </c>
      <c r="AX14" s="90">
        <f>AX216</f>
        <v>7131.7196000000004</v>
      </c>
      <c r="AY14" s="95">
        <f t="shared" si="4"/>
        <v>0.27415692949080805</v>
      </c>
      <c r="AZ14" s="90">
        <f t="shared" si="5"/>
        <v>18881.555400000001</v>
      </c>
      <c r="BA14" s="95">
        <f t="shared" si="6"/>
        <v>0.72584307050919195</v>
      </c>
      <c r="BB14" s="90">
        <v>0</v>
      </c>
      <c r="BC14" s="95">
        <v>0</v>
      </c>
      <c r="BD14" s="90">
        <f>BD216</f>
        <v>18881.555400000001</v>
      </c>
      <c r="BE14" s="95">
        <f t="shared" si="7"/>
        <v>0.72584307050919195</v>
      </c>
      <c r="BF14" s="90">
        <f>BF216</f>
        <v>7131.7196100000001</v>
      </c>
      <c r="BG14" s="95">
        <f t="shared" si="18"/>
        <v>1.0000000014021864</v>
      </c>
      <c r="BH14" s="90">
        <v>0</v>
      </c>
      <c r="BI14" s="95">
        <v>0</v>
      </c>
      <c r="BJ14" s="90">
        <f>BJ216</f>
        <v>7131.7196100000001</v>
      </c>
      <c r="BK14" s="94">
        <f t="shared" si="20"/>
        <v>1.0000000014021864</v>
      </c>
      <c r="BL14" s="90">
        <f t="shared" si="8"/>
        <v>-1.0000000656873453E-5</v>
      </c>
      <c r="BM14" s="95">
        <f t="shared" si="9"/>
        <v>-1.402186459612553E-9</v>
      </c>
      <c r="BN14" s="90">
        <v>0</v>
      </c>
      <c r="BO14" s="95">
        <v>0</v>
      </c>
      <c r="BP14" s="90">
        <f>BP216</f>
        <v>-1.0000000656873453E-5</v>
      </c>
      <c r="BQ14" s="95">
        <f t="shared" si="11"/>
        <v>-1.402186459612553E-9</v>
      </c>
      <c r="BR14" s="90">
        <f t="shared" si="12"/>
        <v>18881.555390000001</v>
      </c>
      <c r="BS14" s="94">
        <f t="shared" si="13"/>
        <v>0.72584307012477289</v>
      </c>
      <c r="BT14" s="90">
        <v>0</v>
      </c>
      <c r="BU14" s="94">
        <v>0</v>
      </c>
      <c r="BV14" s="90">
        <f>BV216</f>
        <v>18881.555390000001</v>
      </c>
      <c r="BW14" s="94">
        <f t="shared" si="15"/>
        <v>0.72584307012477289</v>
      </c>
      <c r="BX14" s="127"/>
      <c r="BY14" s="97"/>
      <c r="BZ14" s="98"/>
      <c r="CA14" s="97"/>
      <c r="CB14" s="98"/>
      <c r="CC14" s="97"/>
      <c r="CD14" s="98"/>
      <c r="CE14" s="97"/>
      <c r="CF14" s="99"/>
      <c r="CG14" s="99"/>
      <c r="CH14" s="99"/>
      <c r="CI14" s="128"/>
      <c r="CJ14" s="99"/>
      <c r="CK14" s="129"/>
    </row>
    <row r="15" spans="1:104" s="126" customFormat="1" ht="64.5" customHeight="1" thickBot="1">
      <c r="B15" s="1229" t="s">
        <v>449</v>
      </c>
      <c r="C15" s="1230"/>
      <c r="D15" s="89"/>
      <c r="E15" s="677"/>
      <c r="F15" s="677"/>
      <c r="G15" s="677"/>
      <c r="H15" s="677"/>
      <c r="I15" s="677"/>
      <c r="J15" s="677"/>
      <c r="K15" s="75">
        <f>L15+M15</f>
        <v>36993.415200000003</v>
      </c>
      <c r="L15" s="75">
        <f>L259</f>
        <v>9522.1388100000004</v>
      </c>
      <c r="M15" s="75">
        <f>M259</f>
        <v>27471.276389999999</v>
      </c>
      <c r="N15" s="75">
        <f>O15+P15</f>
        <v>0</v>
      </c>
      <c r="O15" s="75">
        <f>O259</f>
        <v>0</v>
      </c>
      <c r="P15" s="75">
        <f>P259</f>
        <v>0</v>
      </c>
      <c r="Q15" s="75">
        <f>R15+S15</f>
        <v>36993.415200000003</v>
      </c>
      <c r="R15" s="75">
        <f>R259</f>
        <v>9522.1388100000004</v>
      </c>
      <c r="S15" s="75">
        <f>S259</f>
        <v>27471.276389999999</v>
      </c>
      <c r="T15" s="90"/>
      <c r="U15" s="91"/>
      <c r="V15" s="90"/>
      <c r="W15" s="91"/>
      <c r="X15" s="90"/>
      <c r="Y15" s="91"/>
      <c r="Z15" s="90"/>
      <c r="AA15" s="92"/>
      <c r="AB15" s="93"/>
      <c r="AC15" s="91"/>
      <c r="AD15" s="90"/>
      <c r="AE15" s="90"/>
      <c r="AF15" s="90"/>
      <c r="AG15" s="90"/>
      <c r="AH15" s="90"/>
      <c r="AI15" s="90"/>
      <c r="AJ15" s="90"/>
      <c r="AK15" s="75">
        <f t="shared" ref="AK15:AK16" si="27">AN15+AQ15</f>
        <v>16767.35239</v>
      </c>
      <c r="AL15" s="90"/>
      <c r="AM15" s="46">
        <f t="shared" si="16"/>
        <v>0.45325235043451728</v>
      </c>
      <c r="AN15" s="75">
        <f>AN259</f>
        <v>0</v>
      </c>
      <c r="AO15" s="90"/>
      <c r="AP15" s="46">
        <f t="shared" si="1"/>
        <v>0</v>
      </c>
      <c r="AQ15" s="75">
        <f>AQ259</f>
        <v>16767.35239</v>
      </c>
      <c r="AR15" s="90"/>
      <c r="AS15" s="46">
        <f t="shared" si="2"/>
        <v>0.61035942240032193</v>
      </c>
      <c r="AT15" s="75">
        <f t="shared" si="17"/>
        <v>36405.587390000001</v>
      </c>
      <c r="AU15" s="79">
        <f t="shared" si="3"/>
        <v>0.98410993397549296</v>
      </c>
      <c r="AV15" s="75">
        <f>AV259</f>
        <v>8934.3109999999997</v>
      </c>
      <c r="AW15" s="80">
        <f>AV15/L15</f>
        <v>0.93826725048550297</v>
      </c>
      <c r="AX15" s="75">
        <f>AX259</f>
        <v>27471.276389999999</v>
      </c>
      <c r="AY15" s="80">
        <f t="shared" si="4"/>
        <v>1</v>
      </c>
      <c r="AZ15" s="75">
        <f t="shared" si="5"/>
        <v>587.82781000000068</v>
      </c>
      <c r="BA15" s="80">
        <f t="shared" si="6"/>
        <v>1.5890066024506995E-2</v>
      </c>
      <c r="BB15" s="75">
        <f>BB259</f>
        <v>587.82781000000068</v>
      </c>
      <c r="BC15" s="80">
        <f>BB15/L15</f>
        <v>6.1732749514497011E-2</v>
      </c>
      <c r="BD15" s="75">
        <f>BD259</f>
        <v>0</v>
      </c>
      <c r="BE15" s="80">
        <f t="shared" si="7"/>
        <v>0</v>
      </c>
      <c r="BF15" s="75">
        <f>BH15+BJ15</f>
        <v>36405.587390000001</v>
      </c>
      <c r="BG15" s="80">
        <f t="shared" si="18"/>
        <v>1</v>
      </c>
      <c r="BH15" s="75">
        <f>BH259</f>
        <v>8934.3109999999997</v>
      </c>
      <c r="BI15" s="80">
        <f t="shared" si="19"/>
        <v>1</v>
      </c>
      <c r="BJ15" s="75">
        <f>BJ259</f>
        <v>27471.276389999999</v>
      </c>
      <c r="BK15" s="79">
        <f t="shared" si="20"/>
        <v>1</v>
      </c>
      <c r="BL15" s="75">
        <f t="shared" si="8"/>
        <v>0</v>
      </c>
      <c r="BM15" s="80">
        <f t="shared" si="9"/>
        <v>0</v>
      </c>
      <c r="BN15" s="75">
        <f>BN259</f>
        <v>0</v>
      </c>
      <c r="BO15" s="80">
        <f t="shared" si="10"/>
        <v>0</v>
      </c>
      <c r="BP15" s="75">
        <f>BP259</f>
        <v>0</v>
      </c>
      <c r="BQ15" s="80">
        <f t="shared" si="11"/>
        <v>0</v>
      </c>
      <c r="BR15" s="75">
        <f t="shared" si="12"/>
        <v>587.82781000000068</v>
      </c>
      <c r="BS15" s="79">
        <f t="shared" si="13"/>
        <v>1.5890066024506995E-2</v>
      </c>
      <c r="BT15" s="75">
        <f>BT259</f>
        <v>587.82781000000068</v>
      </c>
      <c r="BU15" s="79">
        <f t="shared" si="14"/>
        <v>6.1732749514497011E-2</v>
      </c>
      <c r="BV15" s="75">
        <f>BV259</f>
        <v>0</v>
      </c>
      <c r="BW15" s="79">
        <f t="shared" si="15"/>
        <v>0</v>
      </c>
      <c r="BX15" s="127"/>
      <c r="BY15" s="97"/>
      <c r="BZ15" s="98"/>
      <c r="CA15" s="97"/>
      <c r="CB15" s="98"/>
      <c r="CC15" s="97"/>
      <c r="CD15" s="98"/>
      <c r="CE15" s="97"/>
      <c r="CF15" s="99"/>
      <c r="CG15" s="99"/>
      <c r="CH15" s="99"/>
      <c r="CI15" s="128"/>
      <c r="CJ15" s="99"/>
      <c r="CK15" s="129"/>
    </row>
    <row r="16" spans="1:104" s="72" customFormat="1" ht="57" customHeight="1" thickBot="1">
      <c r="B16" s="1229" t="s">
        <v>59</v>
      </c>
      <c r="C16" s="1230"/>
      <c r="D16" s="73"/>
      <c r="E16" s="74"/>
      <c r="F16" s="74"/>
      <c r="G16" s="74"/>
      <c r="H16" s="74"/>
      <c r="I16" s="74"/>
      <c r="J16" s="74"/>
      <c r="K16" s="75">
        <f t="shared" si="22"/>
        <v>103490.22352</v>
      </c>
      <c r="L16" s="75">
        <f>L266</f>
        <v>95890.22352</v>
      </c>
      <c r="M16" s="75">
        <f>M266</f>
        <v>7600</v>
      </c>
      <c r="N16" s="75">
        <f t="shared" ref="N16" si="28">O16+P16</f>
        <v>1310</v>
      </c>
      <c r="O16" s="75">
        <f>O266</f>
        <v>1310</v>
      </c>
      <c r="P16" s="75">
        <f>P266</f>
        <v>0</v>
      </c>
      <c r="Q16" s="75">
        <f t="shared" ref="Q16" si="29">R16+S16</f>
        <v>104800.22352</v>
      </c>
      <c r="R16" s="75">
        <f>R266</f>
        <v>97200.22352</v>
      </c>
      <c r="S16" s="75">
        <f>S266</f>
        <v>7600</v>
      </c>
      <c r="T16" s="75"/>
      <c r="U16" s="76"/>
      <c r="V16" s="75"/>
      <c r="W16" s="76"/>
      <c r="X16" s="75"/>
      <c r="Y16" s="76"/>
      <c r="Z16" s="75">
        <f t="shared" ref="Z16:AL16" si="30">Z223</f>
        <v>324.75999999999976</v>
      </c>
      <c r="AA16" s="77">
        <f t="shared" si="30"/>
        <v>7.3610009293048298E-2</v>
      </c>
      <c r="AB16" s="78">
        <f t="shared" si="30"/>
        <v>0</v>
      </c>
      <c r="AC16" s="76">
        <f t="shared" si="30"/>
        <v>0</v>
      </c>
      <c r="AD16" s="75">
        <f t="shared" si="30"/>
        <v>324.75999999999976</v>
      </c>
      <c r="AE16" s="75">
        <f t="shared" si="30"/>
        <v>0</v>
      </c>
      <c r="AF16" s="75">
        <f t="shared" si="30"/>
        <v>0</v>
      </c>
      <c r="AG16" s="75">
        <f t="shared" si="30"/>
        <v>0</v>
      </c>
      <c r="AH16" s="75">
        <f t="shared" si="30"/>
        <v>0</v>
      </c>
      <c r="AI16" s="75">
        <f t="shared" si="30"/>
        <v>0</v>
      </c>
      <c r="AJ16" s="75">
        <f t="shared" si="30"/>
        <v>0</v>
      </c>
      <c r="AK16" s="75">
        <f t="shared" si="27"/>
        <v>98726.580999999991</v>
      </c>
      <c r="AL16" s="75">
        <f t="shared" si="30"/>
        <v>0</v>
      </c>
      <c r="AM16" s="46">
        <f t="shared" si="16"/>
        <v>0.95397012048119301</v>
      </c>
      <c r="AN16" s="75">
        <f>AN266</f>
        <v>92599.946039999995</v>
      </c>
      <c r="AO16" s="75">
        <v>1</v>
      </c>
      <c r="AP16" s="46">
        <f t="shared" si="1"/>
        <v>0.96568703920776922</v>
      </c>
      <c r="AQ16" s="75">
        <f>AQ266</f>
        <v>6126.6349600000003</v>
      </c>
      <c r="AR16" s="75">
        <f t="shared" ref="AR16" si="31">AR223</f>
        <v>0</v>
      </c>
      <c r="AS16" s="46">
        <f t="shared" si="2"/>
        <v>0.80613617894736844</v>
      </c>
      <c r="AT16" s="75">
        <f t="shared" si="17"/>
        <v>98726.580999999991</v>
      </c>
      <c r="AU16" s="79">
        <f t="shared" si="3"/>
        <v>0.95397012048119301</v>
      </c>
      <c r="AV16" s="75">
        <f>AV266</f>
        <v>92599.946039999995</v>
      </c>
      <c r="AW16" s="80">
        <f>AV16/L16</f>
        <v>0.96568703920776922</v>
      </c>
      <c r="AX16" s="75">
        <f>AX266</f>
        <v>6126.6349600000003</v>
      </c>
      <c r="AY16" s="80">
        <f t="shared" si="4"/>
        <v>0.80613617894736844</v>
      </c>
      <c r="AZ16" s="75">
        <f t="shared" si="5"/>
        <v>4763.642520000004</v>
      </c>
      <c r="BA16" s="80">
        <f t="shared" si="6"/>
        <v>4.6029879518806979E-2</v>
      </c>
      <c r="BB16" s="75">
        <f>BB266</f>
        <v>3290.2774800000043</v>
      </c>
      <c r="BC16" s="80">
        <f>BB16/L16</f>
        <v>3.4312960792230764E-2</v>
      </c>
      <c r="BD16" s="75">
        <f>BD266</f>
        <v>1473.3650399999997</v>
      </c>
      <c r="BE16" s="80">
        <f t="shared" si="7"/>
        <v>0.19386382105263153</v>
      </c>
      <c r="BF16" s="75">
        <f>BH16+BJ16</f>
        <v>98726.580999999991</v>
      </c>
      <c r="BG16" s="80">
        <f t="shared" si="18"/>
        <v>1</v>
      </c>
      <c r="BH16" s="75">
        <f>BH266</f>
        <v>92599.946039999995</v>
      </c>
      <c r="BI16" s="80">
        <f t="shared" si="19"/>
        <v>1</v>
      </c>
      <c r="BJ16" s="75">
        <f>BJ266</f>
        <v>6126.6349600000003</v>
      </c>
      <c r="BK16" s="79">
        <f t="shared" si="20"/>
        <v>1</v>
      </c>
      <c r="BL16" s="75">
        <f t="shared" si="8"/>
        <v>0</v>
      </c>
      <c r="BM16" s="80">
        <f t="shared" si="9"/>
        <v>0</v>
      </c>
      <c r="BN16" s="75">
        <f>BN266</f>
        <v>0</v>
      </c>
      <c r="BO16" s="80">
        <f t="shared" si="10"/>
        <v>0</v>
      </c>
      <c r="BP16" s="75">
        <f>BP266</f>
        <v>0</v>
      </c>
      <c r="BQ16" s="80">
        <f t="shared" si="11"/>
        <v>0</v>
      </c>
      <c r="BR16" s="75">
        <f t="shared" si="12"/>
        <v>4763.642520000004</v>
      </c>
      <c r="BS16" s="79">
        <f t="shared" si="13"/>
        <v>4.6029879518806979E-2</v>
      </c>
      <c r="BT16" s="75">
        <f>BT266</f>
        <v>3290.2774800000043</v>
      </c>
      <c r="BU16" s="79">
        <f t="shared" si="14"/>
        <v>3.4312960792230764E-2</v>
      </c>
      <c r="BV16" s="75">
        <f>BV266</f>
        <v>1473.3650399999997</v>
      </c>
      <c r="BW16" s="79">
        <f t="shared" si="15"/>
        <v>0.19386382105263153</v>
      </c>
      <c r="BX16" s="130"/>
      <c r="BY16" s="82"/>
      <c r="BZ16" s="83"/>
      <c r="CA16" s="82"/>
      <c r="CB16" s="83"/>
      <c r="CC16" s="82"/>
      <c r="CD16" s="83"/>
      <c r="CE16" s="82"/>
      <c r="CF16" s="84"/>
      <c r="CG16" s="84"/>
      <c r="CH16" s="84"/>
      <c r="CI16" s="85"/>
      <c r="CJ16" s="84"/>
      <c r="CK16" s="86"/>
    </row>
    <row r="17" spans="2:92" s="31" customFormat="1" ht="15" hidden="1" customHeight="1" thickBot="1">
      <c r="B17" s="131"/>
      <c r="C17" s="132"/>
      <c r="D17" s="132"/>
      <c r="E17" s="133"/>
      <c r="F17" s="133"/>
      <c r="G17" s="133"/>
      <c r="H17" s="133"/>
      <c r="I17" s="133"/>
      <c r="J17" s="133"/>
      <c r="K17" s="134"/>
      <c r="L17" s="133"/>
      <c r="M17" s="133"/>
      <c r="N17" s="133"/>
      <c r="O17" s="132"/>
      <c r="P17" s="132"/>
      <c r="Q17" s="135"/>
      <c r="R17" s="132"/>
      <c r="S17" s="132"/>
      <c r="T17" s="136"/>
      <c r="U17" s="137"/>
      <c r="V17" s="132"/>
      <c r="W17" s="136"/>
      <c r="X17" s="132"/>
      <c r="Y17" s="136"/>
      <c r="Z17" s="136"/>
      <c r="AA17" s="137"/>
      <c r="AB17" s="132"/>
      <c r="AC17" s="136"/>
      <c r="AD17" s="132"/>
      <c r="AE17" s="136"/>
      <c r="AF17" s="136"/>
      <c r="AG17" s="136"/>
      <c r="AH17" s="136"/>
      <c r="AI17" s="132"/>
      <c r="AJ17" s="132"/>
      <c r="AK17" s="136"/>
      <c r="AL17" s="136"/>
      <c r="AM17" s="50" t="e">
        <f t="shared" si="16"/>
        <v>#DIV/0!</v>
      </c>
      <c r="AN17" s="132"/>
      <c r="AO17" s="136"/>
      <c r="AP17" s="136"/>
      <c r="AQ17" s="132"/>
      <c r="AR17" s="136"/>
      <c r="AS17" s="138" t="e">
        <f t="shared" si="2"/>
        <v>#DIV/0!</v>
      </c>
      <c r="AT17" s="136"/>
      <c r="AU17" s="136"/>
      <c r="AV17" s="132"/>
      <c r="AW17" s="136"/>
      <c r="AX17" s="132"/>
      <c r="AY17" s="136"/>
      <c r="AZ17" s="136"/>
      <c r="BA17" s="136"/>
      <c r="BB17" s="132"/>
      <c r="BC17" s="136"/>
      <c r="BD17" s="132"/>
      <c r="BE17" s="136"/>
      <c r="BF17" s="136"/>
      <c r="BG17" s="136"/>
      <c r="BH17" s="132"/>
      <c r="BI17" s="132"/>
      <c r="BJ17" s="132"/>
      <c r="BK17" s="132"/>
      <c r="BL17" s="136"/>
      <c r="BM17" s="136"/>
      <c r="BN17" s="132"/>
      <c r="BO17" s="132"/>
      <c r="BP17" s="132"/>
      <c r="BQ17" s="132"/>
      <c r="BR17" s="136"/>
      <c r="BS17" s="136"/>
      <c r="BT17" s="132"/>
      <c r="BU17" s="132"/>
      <c r="BV17" s="132"/>
      <c r="BW17" s="132"/>
      <c r="BX17" s="136"/>
      <c r="BY17" s="136"/>
      <c r="BZ17" s="136"/>
      <c r="CA17" s="137"/>
      <c r="CB17" s="136"/>
      <c r="CC17" s="136"/>
      <c r="CD17" s="136"/>
      <c r="CE17" s="136"/>
      <c r="CF17" s="136"/>
      <c r="CG17" s="136"/>
      <c r="CH17" s="136"/>
      <c r="CI17" s="136"/>
      <c r="CJ17" s="136"/>
      <c r="CK17" s="139"/>
    </row>
    <row r="18" spans="2:92" s="31" customFormat="1" ht="37.5" customHeight="1" thickBot="1">
      <c r="B18" s="1231" t="s">
        <v>60</v>
      </c>
      <c r="C18" s="1232"/>
      <c r="D18" s="1232"/>
      <c r="E18" s="1232"/>
      <c r="F18" s="1232"/>
      <c r="G18" s="1232"/>
      <c r="H18" s="1232"/>
      <c r="I18" s="1232"/>
      <c r="J18" s="1232"/>
      <c r="K18" s="1232"/>
      <c r="L18" s="1232"/>
      <c r="M18" s="1232"/>
      <c r="N18" s="1232"/>
      <c r="O18" s="1232"/>
      <c r="P18" s="1232"/>
      <c r="Q18" s="1232"/>
      <c r="R18" s="1232"/>
      <c r="S18" s="1232"/>
      <c r="T18" s="1232"/>
      <c r="U18" s="1232"/>
      <c r="V18" s="1232"/>
      <c r="W18" s="1232"/>
      <c r="X18" s="1232"/>
      <c r="Y18" s="1232"/>
      <c r="Z18" s="1232"/>
      <c r="AA18" s="1232"/>
      <c r="AB18" s="1232"/>
      <c r="AC18" s="1232"/>
      <c r="AD18" s="1232"/>
      <c r="AE18" s="1232"/>
      <c r="AF18" s="1232"/>
      <c r="AG18" s="1232"/>
      <c r="AH18" s="1232"/>
      <c r="AI18" s="1232"/>
      <c r="AJ18" s="1232"/>
      <c r="AK18" s="1232"/>
      <c r="AL18" s="1232"/>
      <c r="AM18" s="1232"/>
      <c r="AN18" s="1232"/>
      <c r="AO18" s="1232"/>
      <c r="AP18" s="1232"/>
      <c r="AQ18" s="1232"/>
      <c r="AR18" s="1232"/>
      <c r="AS18" s="1232"/>
      <c r="AT18" s="1232"/>
      <c r="AU18" s="1232"/>
      <c r="AV18" s="1232"/>
      <c r="AW18" s="1232"/>
      <c r="AX18" s="1232"/>
      <c r="AY18" s="1232"/>
      <c r="AZ18" s="1232"/>
      <c r="BA18" s="1232"/>
      <c r="BB18" s="1232"/>
      <c r="BC18" s="1232"/>
      <c r="BD18" s="1232"/>
      <c r="BE18" s="1232"/>
      <c r="BF18" s="1232"/>
      <c r="BG18" s="1232"/>
      <c r="BH18" s="1232"/>
      <c r="BI18" s="1232"/>
      <c r="BJ18" s="1232"/>
      <c r="BK18" s="1232"/>
      <c r="BL18" s="1232"/>
      <c r="BM18" s="1232"/>
      <c r="BN18" s="1232"/>
      <c r="BO18" s="1232"/>
      <c r="BP18" s="1232"/>
      <c r="BQ18" s="1232"/>
      <c r="BR18" s="1232"/>
      <c r="BS18" s="1232"/>
      <c r="BT18" s="1232"/>
      <c r="BU18" s="1232"/>
      <c r="BV18" s="1232"/>
      <c r="BW18" s="1232"/>
      <c r="BX18" s="1232"/>
      <c r="BY18" s="1232"/>
      <c r="BZ18" s="1232"/>
      <c r="CA18" s="1232"/>
      <c r="CB18" s="1232"/>
      <c r="CC18" s="1232"/>
      <c r="CD18" s="1232"/>
      <c r="CE18" s="1232"/>
      <c r="CF18" s="1232"/>
      <c r="CG18" s="1232"/>
      <c r="CH18" s="1232"/>
      <c r="CI18" s="1232"/>
      <c r="CJ18" s="1232"/>
      <c r="CK18" s="1233"/>
    </row>
    <row r="19" spans="2:92" ht="38.25" customHeight="1" thickBot="1">
      <c r="B19" s="1234" t="s">
        <v>61</v>
      </c>
      <c r="C19" s="1235"/>
      <c r="D19" s="1235"/>
      <c r="E19" s="1235"/>
      <c r="F19" s="1235"/>
      <c r="G19" s="1235"/>
      <c r="H19" s="1235"/>
      <c r="I19" s="1235"/>
      <c r="J19" s="1235"/>
      <c r="K19" s="1235"/>
      <c r="L19" s="1235"/>
      <c r="M19" s="1235"/>
      <c r="N19" s="1235"/>
      <c r="O19" s="1235"/>
      <c r="P19" s="1235"/>
      <c r="Q19" s="1235"/>
      <c r="R19" s="1235"/>
      <c r="S19" s="1235"/>
      <c r="T19" s="1235"/>
      <c r="U19" s="1235"/>
      <c r="V19" s="1235"/>
      <c r="W19" s="1235"/>
      <c r="X19" s="1235"/>
      <c r="Y19" s="1235"/>
      <c r="Z19" s="1235"/>
      <c r="AA19" s="1235"/>
      <c r="AB19" s="1235"/>
      <c r="AC19" s="1235"/>
      <c r="AD19" s="1235"/>
      <c r="AE19" s="1235"/>
      <c r="AF19" s="1235"/>
      <c r="AG19" s="1235"/>
      <c r="AH19" s="1235"/>
      <c r="AI19" s="1235"/>
      <c r="AJ19" s="1235"/>
      <c r="AK19" s="1235"/>
      <c r="AL19" s="1235"/>
      <c r="AM19" s="1235"/>
      <c r="AN19" s="1235"/>
      <c r="AO19" s="1235"/>
      <c r="AP19" s="1235"/>
      <c r="AQ19" s="1235"/>
      <c r="AR19" s="1235"/>
      <c r="AS19" s="1235"/>
      <c r="AT19" s="1235"/>
      <c r="AU19" s="1235"/>
      <c r="AV19" s="1235"/>
      <c r="AW19" s="1235"/>
      <c r="AX19" s="1235"/>
      <c r="AY19" s="1235"/>
      <c r="AZ19" s="1235"/>
      <c r="BA19" s="1236"/>
      <c r="BB19" s="1235"/>
      <c r="BC19" s="1236"/>
      <c r="BD19" s="1235"/>
      <c r="BE19" s="1235"/>
      <c r="BF19" s="1235"/>
      <c r="BG19" s="1235"/>
      <c r="BH19" s="1235"/>
      <c r="BI19" s="1235"/>
      <c r="BJ19" s="1235"/>
      <c r="BK19" s="1235"/>
      <c r="BL19" s="1235"/>
      <c r="BM19" s="1235"/>
      <c r="BN19" s="1235"/>
      <c r="BO19" s="1235"/>
      <c r="BP19" s="1235"/>
      <c r="BQ19" s="1235"/>
      <c r="BR19" s="1235"/>
      <c r="BS19" s="1235"/>
      <c r="BT19" s="1235"/>
      <c r="BU19" s="1235"/>
      <c r="BV19" s="1235"/>
      <c r="BW19" s="1235"/>
      <c r="BX19" s="1235"/>
      <c r="BY19" s="1235"/>
      <c r="BZ19" s="1235"/>
      <c r="CA19" s="1235"/>
      <c r="CB19" s="1235"/>
      <c r="CC19" s="1235"/>
      <c r="CD19" s="1235"/>
      <c r="CE19" s="1235"/>
      <c r="CF19" s="1235"/>
      <c r="CG19" s="1235"/>
      <c r="CH19" s="1235"/>
      <c r="CI19" s="1235"/>
      <c r="CJ19" s="1235"/>
      <c r="CK19" s="1237"/>
    </row>
    <row r="20" spans="2:92" s="72" customFormat="1" ht="46.5" customHeight="1" thickBot="1">
      <c r="B20" s="140" t="s">
        <v>62</v>
      </c>
      <c r="C20" s="141" t="s">
        <v>63</v>
      </c>
      <c r="D20" s="73" t="s">
        <v>64</v>
      </c>
      <c r="E20" s="74" t="e">
        <f t="shared" ref="E20:E26" si="32">F20+G20</f>
        <v>#REF!</v>
      </c>
      <c r="F20" s="74" t="e">
        <f>F21+F22</f>
        <v>#REF!</v>
      </c>
      <c r="G20" s="74" t="e">
        <f>G21+G22</f>
        <v>#REF!</v>
      </c>
      <c r="H20" s="74" t="e">
        <f>I20+J20</f>
        <v>#REF!</v>
      </c>
      <c r="I20" s="74" t="e">
        <f>I21+I22</f>
        <v>#REF!</v>
      </c>
      <c r="J20" s="74" t="e">
        <f>J21+J22</f>
        <v>#REF!</v>
      </c>
      <c r="K20" s="75">
        <f t="shared" ref="K20:S20" si="33">K26+K82</f>
        <v>1012503.0336600002</v>
      </c>
      <c r="L20" s="75">
        <f t="shared" si="33"/>
        <v>1012503.0336600002</v>
      </c>
      <c r="M20" s="75">
        <f t="shared" si="33"/>
        <v>0</v>
      </c>
      <c r="N20" s="75">
        <f t="shared" si="33"/>
        <v>-10426.533810000012</v>
      </c>
      <c r="O20" s="75">
        <f t="shared" si="33"/>
        <v>-10426.533810000012</v>
      </c>
      <c r="P20" s="75">
        <f t="shared" si="33"/>
        <v>0</v>
      </c>
      <c r="Q20" s="74">
        <f t="shared" si="33"/>
        <v>1005259.8890100002</v>
      </c>
      <c r="R20" s="74">
        <f t="shared" si="33"/>
        <v>1005259.8890100002</v>
      </c>
      <c r="S20" s="74">
        <f t="shared" si="33"/>
        <v>0</v>
      </c>
      <c r="T20" s="75">
        <f>V20+X20</f>
        <v>1042239.40567</v>
      </c>
      <c r="U20" s="76">
        <f>T20/Q20</f>
        <v>1.0367860262448332</v>
      </c>
      <c r="V20" s="75">
        <f>V26+V82</f>
        <v>1042239.40567</v>
      </c>
      <c r="W20" s="76">
        <f>V20/R20</f>
        <v>1.0367860262448332</v>
      </c>
      <c r="X20" s="75">
        <f t="shared" ref="X20:X26" si="34">X26+X82</f>
        <v>0</v>
      </c>
      <c r="Y20" s="76">
        <v>0</v>
      </c>
      <c r="Z20" s="75">
        <f>AB20+AD20</f>
        <v>-25236.372010000021</v>
      </c>
      <c r="AA20" s="77">
        <f>Z20/Q20</f>
        <v>-2.5104326041351654E-2</v>
      </c>
      <c r="AB20" s="78">
        <f>AB26+AB82</f>
        <v>-25236.372010000021</v>
      </c>
      <c r="AC20" s="76">
        <f>AB20/R20</f>
        <v>-2.5104326041351654E-2</v>
      </c>
      <c r="AD20" s="75">
        <f t="shared" ref="AD20:AL20" si="35">AD26+AD82</f>
        <v>0</v>
      </c>
      <c r="AE20" s="75" t="e">
        <f t="shared" si="35"/>
        <v>#REF!</v>
      </c>
      <c r="AF20" s="75" t="e">
        <f t="shared" si="35"/>
        <v>#REF!</v>
      </c>
      <c r="AG20" s="75" t="e">
        <f t="shared" si="35"/>
        <v>#REF!</v>
      </c>
      <c r="AH20" s="75" t="e">
        <f t="shared" si="35"/>
        <v>#REF!</v>
      </c>
      <c r="AI20" s="75" t="e">
        <f t="shared" si="35"/>
        <v>#REF!</v>
      </c>
      <c r="AJ20" s="75" t="e">
        <f t="shared" si="35"/>
        <v>#REF!</v>
      </c>
      <c r="AK20" s="75">
        <f t="shared" si="35"/>
        <v>171936.84020999999</v>
      </c>
      <c r="AL20" s="75" t="e">
        <f t="shared" si="35"/>
        <v>#REF!</v>
      </c>
      <c r="AM20" s="142">
        <f>AK20/Q20</f>
        <v>0.17103720350299345</v>
      </c>
      <c r="AN20" s="75">
        <f>AN26+AN82</f>
        <v>171936.84020999999</v>
      </c>
      <c r="AO20" s="75" t="e">
        <f>AO26+AO82</f>
        <v>#REF!</v>
      </c>
      <c r="AP20" s="142">
        <f>AN20/R20</f>
        <v>0.17103720350299345</v>
      </c>
      <c r="AQ20" s="75">
        <f>AQ26+AQ82</f>
        <v>0</v>
      </c>
      <c r="AR20" s="75" t="e">
        <f>AR26+AR82</f>
        <v>#REF!</v>
      </c>
      <c r="AS20" s="76">
        <f>AS26+AS82</f>
        <v>0</v>
      </c>
      <c r="AT20" s="75">
        <f>AT26+AT82</f>
        <v>910060.58639999991</v>
      </c>
      <c r="AU20" s="79">
        <f t="shared" ref="AU20:AU26" si="36">AT20/K20</f>
        <v>0.89882257745965377</v>
      </c>
      <c r="AV20" s="75">
        <f>AV26+AV82</f>
        <v>910060.58639999991</v>
      </c>
      <c r="AW20" s="143">
        <f t="shared" ref="AW20:AW26" si="37">AV20/L20</f>
        <v>0.89882257745965377</v>
      </c>
      <c r="AX20" s="75">
        <f>AX26+AX82</f>
        <v>0</v>
      </c>
      <c r="AY20" s="143">
        <v>0</v>
      </c>
      <c r="AZ20" s="75">
        <f>BB20+BD20</f>
        <v>102442.44726000002</v>
      </c>
      <c r="BA20" s="80">
        <f t="shared" ref="BA20:BA26" si="38">AZ20/K20</f>
        <v>0.10117742254034601</v>
      </c>
      <c r="BB20" s="75">
        <f>BB26+BB82</f>
        <v>102442.44726000002</v>
      </c>
      <c r="BC20" s="80">
        <f t="shared" ref="BC20:BC26" si="39">BB20/L20</f>
        <v>0.10117742254034601</v>
      </c>
      <c r="BD20" s="75">
        <f t="shared" ref="BD20:BD26" si="40">BD26+BD82</f>
        <v>0</v>
      </c>
      <c r="BE20" s="143">
        <v>0</v>
      </c>
      <c r="BF20" s="75">
        <f t="shared" ref="BF20:BP20" si="41">BF26+BF82</f>
        <v>910060.58639999991</v>
      </c>
      <c r="BG20" s="80">
        <f>BF20/AT20</f>
        <v>1</v>
      </c>
      <c r="BH20" s="75">
        <f t="shared" si="41"/>
        <v>910060.58639999991</v>
      </c>
      <c r="BI20" s="80">
        <f>BH20/AV20</f>
        <v>1</v>
      </c>
      <c r="BJ20" s="144">
        <f t="shared" si="41"/>
        <v>0</v>
      </c>
      <c r="BK20" s="80">
        <v>0</v>
      </c>
      <c r="BL20" s="75">
        <f t="shared" si="41"/>
        <v>0</v>
      </c>
      <c r="BM20" s="80">
        <f>BL20/AT20</f>
        <v>0</v>
      </c>
      <c r="BN20" s="75">
        <f t="shared" si="41"/>
        <v>0</v>
      </c>
      <c r="BO20" s="80">
        <f>BN20/AV20</f>
        <v>0</v>
      </c>
      <c r="BP20" s="144">
        <f t="shared" si="41"/>
        <v>0</v>
      </c>
      <c r="BQ20" s="80">
        <v>0</v>
      </c>
      <c r="BR20" s="75">
        <f t="shared" ref="BR20" si="42">BR26+BR82</f>
        <v>102442.44726000009</v>
      </c>
      <c r="BS20" s="79">
        <f>BR20/K20</f>
        <v>0.10117742254034608</v>
      </c>
      <c r="BT20" s="75">
        <f t="shared" ref="BT20" si="43">BT26+BT82</f>
        <v>102442.44726000009</v>
      </c>
      <c r="BU20" s="79">
        <f>BT20/BB20</f>
        <v>1.0000000000000007</v>
      </c>
      <c r="BV20" s="144">
        <f t="shared" ref="BV20" si="44">BV26+BV82</f>
        <v>0</v>
      </c>
      <c r="BW20" s="79">
        <v>0</v>
      </c>
      <c r="BX20" s="81"/>
      <c r="BY20" s="82">
        <v>0</v>
      </c>
      <c r="BZ20" s="83" t="e">
        <f>CB20+CD20</f>
        <v>#REF!</v>
      </c>
      <c r="CA20" s="82" t="e">
        <f t="shared" ref="CA20:CA26" si="45">BZ20/BT20</f>
        <v>#REF!</v>
      </c>
      <c r="CB20" s="83" t="e">
        <f>CB26+CB82</f>
        <v>#REF!</v>
      </c>
      <c r="CC20" s="82" t="e">
        <f t="shared" ref="CC20:CC26" si="46">CB20/BV20</f>
        <v>#REF!</v>
      </c>
      <c r="CD20" s="83">
        <f>CD26+CD82</f>
        <v>0</v>
      </c>
      <c r="CE20" s="82" t="e">
        <f>CD20/BY20</f>
        <v>#DIV/0!</v>
      </c>
      <c r="CF20" s="84" t="s">
        <v>65</v>
      </c>
      <c r="CG20" s="84" t="s">
        <v>66</v>
      </c>
      <c r="CH20" s="84"/>
      <c r="CI20" s="85"/>
      <c r="CJ20" s="84"/>
      <c r="CK20" s="86"/>
    </row>
    <row r="21" spans="2:92" s="159" customFormat="1" ht="26.25" hidden="1" customHeight="1" thickBot="1">
      <c r="B21" s="544"/>
      <c r="C21" s="545" t="s">
        <v>67</v>
      </c>
      <c r="D21" s="545"/>
      <c r="E21" s="115" t="e">
        <f t="shared" si="32"/>
        <v>#REF!</v>
      </c>
      <c r="F21" s="115" t="e">
        <f>#REF!+#REF!</f>
        <v>#REF!</v>
      </c>
      <c r="G21" s="115" t="e">
        <f>#REF!+#REF!</f>
        <v>#REF!</v>
      </c>
      <c r="H21" s="115" t="e">
        <f>#REF!+#REF!</f>
        <v>#REF!</v>
      </c>
      <c r="I21" s="115" t="e">
        <f>#REF!+#REF!</f>
        <v>#REF!</v>
      </c>
      <c r="J21" s="115" t="e">
        <f>#REF!+#REF!</f>
        <v>#REF!</v>
      </c>
      <c r="K21" s="90" t="e">
        <f>#REF!+#REF!</f>
        <v>#REF!</v>
      </c>
      <c r="L21" s="90" t="e">
        <f>#REF!+#REF!</f>
        <v>#REF!</v>
      </c>
      <c r="M21" s="90" t="e">
        <f>#REF!+#REF!</f>
        <v>#REF!</v>
      </c>
      <c r="N21" s="54" t="e">
        <f>#REF!+#REF!</f>
        <v>#REF!</v>
      </c>
      <c r="O21" s="116" t="e">
        <f>#REF!+#REF!</f>
        <v>#REF!</v>
      </c>
      <c r="P21" s="116" t="e">
        <f>#REF!+#REF!</f>
        <v>#REF!</v>
      </c>
      <c r="Q21" s="115" t="e">
        <f>#REF!+#REF!</f>
        <v>#REF!</v>
      </c>
      <c r="R21" s="115" t="e">
        <f>#REF!+#REF!</f>
        <v>#REF!</v>
      </c>
      <c r="S21" s="115" t="e">
        <f>#REF!+#REF!</f>
        <v>#REF!</v>
      </c>
      <c r="T21" s="116" t="e">
        <f>#REF!+#REF!</f>
        <v>#REF!</v>
      </c>
      <c r="U21" s="145" t="e">
        <f t="shared" ref="U21:U87" si="47">T21/Q21</f>
        <v>#REF!</v>
      </c>
      <c r="V21" s="116" t="e">
        <f>#REF!+#REF!</f>
        <v>#REF!</v>
      </c>
      <c r="W21" s="145" t="e">
        <f t="shared" ref="W21:W87" si="48">V21/R21</f>
        <v>#REF!</v>
      </c>
      <c r="X21" s="54">
        <f t="shared" si="34"/>
        <v>0</v>
      </c>
      <c r="Y21" s="145" t="e">
        <f t="shared" ref="Y21:Y87" si="49">X21/S21</f>
        <v>#REF!</v>
      </c>
      <c r="Z21" s="54" t="e">
        <f t="shared" ref="Z21:Z26" si="50">AB21+AD21</f>
        <v>#REF!</v>
      </c>
      <c r="AA21" s="145" t="e">
        <f t="shared" ref="AA21:AA87" si="51">Z21/Q21</f>
        <v>#REF!</v>
      </c>
      <c r="AB21" s="116" t="e">
        <f>#REF!+#REF!</f>
        <v>#REF!</v>
      </c>
      <c r="AC21" s="145" t="e">
        <f t="shared" ref="AC21:AC87" si="52">AB21/R21</f>
        <v>#REF!</v>
      </c>
      <c r="AD21" s="116" t="e">
        <f>#REF!+#REF!</f>
        <v>#REF!</v>
      </c>
      <c r="AE21" s="116" t="e">
        <f>#REF!+#REF!</f>
        <v>#REF!</v>
      </c>
      <c r="AF21" s="116" t="e">
        <f>#REF!+#REF!</f>
        <v>#REF!</v>
      </c>
      <c r="AG21" s="116" t="e">
        <f>#REF!+#REF!</f>
        <v>#REF!</v>
      </c>
      <c r="AH21" s="116" t="e">
        <f>#REF!+#REF!</f>
        <v>#REF!</v>
      </c>
      <c r="AI21" s="116" t="e">
        <f>#REF!+#REF!</f>
        <v>#REF!</v>
      </c>
      <c r="AJ21" s="116" t="e">
        <f>#REF!+#REF!</f>
        <v>#REF!</v>
      </c>
      <c r="AK21" s="116" t="e">
        <f>#REF!+#REF!</f>
        <v>#REF!</v>
      </c>
      <c r="AL21" s="146" t="e">
        <f t="shared" ref="AL21:AL26" si="53">AK21/AH21</f>
        <v>#REF!</v>
      </c>
      <c r="AM21" s="147" t="e">
        <f t="shared" ref="AM21:AM25" si="54">AK21/K21</f>
        <v>#REF!</v>
      </c>
      <c r="AN21" s="116" t="e">
        <f>#REF!+#REF!</f>
        <v>#REF!</v>
      </c>
      <c r="AO21" s="148" t="e">
        <f t="shared" ref="AO21:AO26" si="55">SUM(AN21/AI21)</f>
        <v>#REF!</v>
      </c>
      <c r="AP21" s="147" t="e">
        <f t="shared" ref="AP21:AP25" si="56">AN21/L21</f>
        <v>#REF!</v>
      </c>
      <c r="AQ21" s="116" t="e">
        <f>#REF!+#REF!</f>
        <v>#REF!</v>
      </c>
      <c r="AR21" s="148" t="e">
        <f t="shared" ref="AR21:AR88" si="57">SUM(AQ21/AJ21)</f>
        <v>#REF!</v>
      </c>
      <c r="AS21" s="148" t="e">
        <f t="shared" ref="AS21:AS25" si="58">AQ21/M21</f>
        <v>#REF!</v>
      </c>
      <c r="AT21" s="116" t="e">
        <f>#REF!+#REF!</f>
        <v>#REF!</v>
      </c>
      <c r="AU21" s="149" t="e">
        <f t="shared" si="36"/>
        <v>#REF!</v>
      </c>
      <c r="AV21" s="116" t="e">
        <f>#REF!+#REF!</f>
        <v>#REF!</v>
      </c>
      <c r="AW21" s="150" t="e">
        <f t="shared" si="37"/>
        <v>#REF!</v>
      </c>
      <c r="AX21" s="116" t="e">
        <f>#REF!+#REF!</f>
        <v>#REF!</v>
      </c>
      <c r="AY21" s="150" t="e">
        <f>AX21/M21</f>
        <v>#REF!</v>
      </c>
      <c r="AZ21" s="116" t="e">
        <f>#REF!+#REF!</f>
        <v>#REF!</v>
      </c>
      <c r="BA21" s="151" t="e">
        <f t="shared" si="38"/>
        <v>#REF!</v>
      </c>
      <c r="BB21" s="116" t="e">
        <f>#REF!+#REF!</f>
        <v>#REF!</v>
      </c>
      <c r="BC21" s="151" t="e">
        <f t="shared" si="39"/>
        <v>#REF!</v>
      </c>
      <c r="BD21" s="116">
        <f t="shared" si="40"/>
        <v>0</v>
      </c>
      <c r="BE21" s="150" t="e">
        <f>BD21/S21</f>
        <v>#REF!</v>
      </c>
      <c r="BF21" s="116" t="e">
        <f t="shared" ref="BF21:BF26" si="59">BH21+BJ21</f>
        <v>#REF!</v>
      </c>
      <c r="BG21" s="80" t="e">
        <f t="shared" ref="BG21:BG26" si="60">BF21/AT21</f>
        <v>#REF!</v>
      </c>
      <c r="BH21" s="116" t="e">
        <f>#REF!+#REF!</f>
        <v>#REF!</v>
      </c>
      <c r="BI21" s="80"/>
      <c r="BJ21" s="152" t="e">
        <f>#REF!+#REF!</f>
        <v>#REF!</v>
      </c>
      <c r="BK21" s="80"/>
      <c r="BL21" s="153" t="e">
        <f t="shared" ref="BL21:BL25" si="61">BN21+BP21</f>
        <v>#REF!</v>
      </c>
      <c r="BM21" s="80" t="e">
        <f t="shared" ref="BM21:BM26" si="62">BL21/AT21</f>
        <v>#REF!</v>
      </c>
      <c r="BN21" s="154" t="e">
        <f>#REF!+#REF!</f>
        <v>#REF!</v>
      </c>
      <c r="BO21" s="80" t="e">
        <f t="shared" ref="BO21:BO26" si="63">BN21/AV21</f>
        <v>#REF!</v>
      </c>
      <c r="BP21" s="154"/>
      <c r="BQ21" s="80"/>
      <c r="BR21" s="153" t="e">
        <f t="shared" ref="BR21:BR25" si="64">BT21+BV21</f>
        <v>#REF!</v>
      </c>
      <c r="BS21" s="79" t="e">
        <f t="shared" ref="BS21:BS26" si="65">BR21/K21</f>
        <v>#REF!</v>
      </c>
      <c r="BT21" s="154" t="e">
        <f>#REF!+#REF!</f>
        <v>#REF!</v>
      </c>
      <c r="BU21" s="79" t="e">
        <f t="shared" ref="BU21:BU26" si="66">BT21/BB21</f>
        <v>#REF!</v>
      </c>
      <c r="BV21" s="154"/>
      <c r="BW21" s="79"/>
      <c r="BX21" s="155"/>
      <c r="BY21" s="52" t="e">
        <f>AD21/S21</f>
        <v>#REF!</v>
      </c>
      <c r="BZ21" s="53" t="e">
        <f t="shared" ref="BZ21:BZ26" si="67">CB21+CD21</f>
        <v>#REF!</v>
      </c>
      <c r="CA21" s="52" t="e">
        <f t="shared" si="45"/>
        <v>#REF!</v>
      </c>
      <c r="CB21" s="156" t="e">
        <f>#REF!+#REF!</f>
        <v>#REF!</v>
      </c>
      <c r="CC21" s="52" t="e">
        <f t="shared" si="46"/>
        <v>#REF!</v>
      </c>
      <c r="CD21" s="156" t="e">
        <f>#REF!+#REF!</f>
        <v>#REF!</v>
      </c>
      <c r="CE21" s="52" t="e">
        <f t="shared" ref="CE21:CE87" si="68">CD21/BY21</f>
        <v>#REF!</v>
      </c>
      <c r="CF21" s="152"/>
      <c r="CG21" s="157"/>
      <c r="CH21" s="152"/>
      <c r="CI21" s="157"/>
      <c r="CJ21" s="152"/>
      <c r="CK21" s="158"/>
    </row>
    <row r="22" spans="2:92" s="171" customFormat="1" ht="26.25" hidden="1" customHeight="1" thickBot="1">
      <c r="B22" s="686"/>
      <c r="C22" s="687" t="s">
        <v>68</v>
      </c>
      <c r="D22" s="687"/>
      <c r="E22" s="160" t="e">
        <f t="shared" si="32"/>
        <v>#REF!</v>
      </c>
      <c r="F22" s="160" t="e">
        <f>#REF!+#REF!</f>
        <v>#REF!</v>
      </c>
      <c r="G22" s="160" t="e">
        <f>#REF!+#REF!</f>
        <v>#REF!</v>
      </c>
      <c r="H22" s="160" t="e">
        <f>I22+J22</f>
        <v>#REF!</v>
      </c>
      <c r="I22" s="160" t="e">
        <f>#REF!+#REF!</f>
        <v>#REF!</v>
      </c>
      <c r="J22" s="160" t="e">
        <f>#REF!+#REF!</f>
        <v>#REF!</v>
      </c>
      <c r="K22" s="90" t="e">
        <f>L22+M22</f>
        <v>#REF!</v>
      </c>
      <c r="L22" s="90" t="e">
        <f>#REF!+#REF!</f>
        <v>#REF!</v>
      </c>
      <c r="M22" s="90" t="e">
        <f>#REF!+#REF!</f>
        <v>#REF!</v>
      </c>
      <c r="N22" s="161" t="e">
        <f>#REF!+#REF!</f>
        <v>#REF!</v>
      </c>
      <c r="O22" s="161" t="e">
        <f>#REF!+#REF!</f>
        <v>#REF!</v>
      </c>
      <c r="P22" s="161" t="e">
        <f>#REF!+#REF!</f>
        <v>#REF!</v>
      </c>
      <c r="Q22" s="160" t="e">
        <f>#REF!+#REF!</f>
        <v>#REF!</v>
      </c>
      <c r="R22" s="160" t="e">
        <f>#REF!+#REF!</f>
        <v>#REF!</v>
      </c>
      <c r="S22" s="160" t="e">
        <f>#REF!+#REF!</f>
        <v>#REF!</v>
      </c>
      <c r="T22" s="161" t="e">
        <f>#REF!+#REF!</f>
        <v>#REF!</v>
      </c>
      <c r="U22" s="145" t="e">
        <f t="shared" si="47"/>
        <v>#REF!</v>
      </c>
      <c r="V22" s="161" t="e">
        <f>#REF!+#REF!</f>
        <v>#REF!</v>
      </c>
      <c r="W22" s="145" t="e">
        <f t="shared" si="48"/>
        <v>#REF!</v>
      </c>
      <c r="X22" s="54">
        <f t="shared" si="34"/>
        <v>0</v>
      </c>
      <c r="Y22" s="145" t="e">
        <f t="shared" si="49"/>
        <v>#REF!</v>
      </c>
      <c r="Z22" s="54" t="e">
        <f t="shared" si="50"/>
        <v>#REF!</v>
      </c>
      <c r="AA22" s="145" t="e">
        <f t="shared" si="51"/>
        <v>#REF!</v>
      </c>
      <c r="AB22" s="161" t="e">
        <f>#REF!+#REF!</f>
        <v>#REF!</v>
      </c>
      <c r="AC22" s="145" t="e">
        <f t="shared" si="52"/>
        <v>#REF!</v>
      </c>
      <c r="AD22" s="161" t="e">
        <f>#REF!+#REF!</f>
        <v>#REF!</v>
      </c>
      <c r="AE22" s="161" t="e">
        <f>#REF!+#REF!</f>
        <v>#REF!</v>
      </c>
      <c r="AF22" s="161" t="e">
        <f>#REF!+#REF!</f>
        <v>#REF!</v>
      </c>
      <c r="AG22" s="161" t="e">
        <f>#REF!+#REF!</f>
        <v>#REF!</v>
      </c>
      <c r="AH22" s="161" t="e">
        <f>#REF!+#REF!</f>
        <v>#REF!</v>
      </c>
      <c r="AI22" s="161" t="e">
        <f>#REF!+#REF!</f>
        <v>#REF!</v>
      </c>
      <c r="AJ22" s="161" t="e">
        <f>#REF!+#REF!</f>
        <v>#REF!</v>
      </c>
      <c r="AK22" s="161" t="e">
        <f>#REF!+#REF!</f>
        <v>#REF!</v>
      </c>
      <c r="AL22" s="162" t="e">
        <f t="shared" si="53"/>
        <v>#REF!</v>
      </c>
      <c r="AM22" s="163" t="e">
        <f t="shared" si="54"/>
        <v>#REF!</v>
      </c>
      <c r="AN22" s="161" t="e">
        <f>#REF!+#REF!</f>
        <v>#REF!</v>
      </c>
      <c r="AO22" s="164" t="e">
        <f t="shared" si="55"/>
        <v>#REF!</v>
      </c>
      <c r="AP22" s="163" t="e">
        <f t="shared" si="56"/>
        <v>#REF!</v>
      </c>
      <c r="AQ22" s="161" t="e">
        <f>#REF!+#REF!</f>
        <v>#REF!</v>
      </c>
      <c r="AR22" s="164" t="e">
        <f t="shared" si="57"/>
        <v>#REF!</v>
      </c>
      <c r="AS22" s="164" t="e">
        <f t="shared" si="58"/>
        <v>#REF!</v>
      </c>
      <c r="AT22" s="161" t="e">
        <f>#REF!+#REF!</f>
        <v>#REF!</v>
      </c>
      <c r="AU22" s="142" t="e">
        <f t="shared" si="36"/>
        <v>#REF!</v>
      </c>
      <c r="AV22" s="161" t="e">
        <f>#REF!+#REF!</f>
        <v>#REF!</v>
      </c>
      <c r="AW22" s="150" t="e">
        <f t="shared" si="37"/>
        <v>#REF!</v>
      </c>
      <c r="AX22" s="161" t="e">
        <f>#REF!+#REF!</f>
        <v>#REF!</v>
      </c>
      <c r="AY22" s="150" t="e">
        <f>AX22/M22</f>
        <v>#REF!</v>
      </c>
      <c r="AZ22" s="161" t="e">
        <f>#REF!+#REF!</f>
        <v>#REF!</v>
      </c>
      <c r="BA22" s="143" t="e">
        <f t="shared" si="38"/>
        <v>#REF!</v>
      </c>
      <c r="BB22" s="161" t="e">
        <f>#REF!+#REF!</f>
        <v>#REF!</v>
      </c>
      <c r="BC22" s="143" t="e">
        <f t="shared" si="39"/>
        <v>#REF!</v>
      </c>
      <c r="BD22" s="152">
        <f t="shared" si="40"/>
        <v>0</v>
      </c>
      <c r="BE22" s="165" t="e">
        <f>BD22/S22</f>
        <v>#REF!</v>
      </c>
      <c r="BF22" s="161" t="e">
        <f t="shared" si="59"/>
        <v>#REF!</v>
      </c>
      <c r="BG22" s="80" t="e">
        <f t="shared" si="60"/>
        <v>#REF!</v>
      </c>
      <c r="BH22" s="161" t="e">
        <f>#REF!+#REF!</f>
        <v>#REF!</v>
      </c>
      <c r="BI22" s="80"/>
      <c r="BJ22" s="161" t="e">
        <f>#REF!+#REF!</f>
        <v>#REF!</v>
      </c>
      <c r="BK22" s="80"/>
      <c r="BL22" s="166" t="e">
        <f t="shared" si="61"/>
        <v>#REF!</v>
      </c>
      <c r="BM22" s="80" t="e">
        <f t="shared" si="62"/>
        <v>#REF!</v>
      </c>
      <c r="BN22" s="167" t="e">
        <f>#REF!+#REF!</f>
        <v>#REF!</v>
      </c>
      <c r="BO22" s="80" t="e">
        <f t="shared" si="63"/>
        <v>#REF!</v>
      </c>
      <c r="BP22" s="167"/>
      <c r="BQ22" s="80"/>
      <c r="BR22" s="166" t="e">
        <f t="shared" si="64"/>
        <v>#REF!</v>
      </c>
      <c r="BS22" s="79" t="e">
        <f t="shared" si="65"/>
        <v>#REF!</v>
      </c>
      <c r="BT22" s="167" t="e">
        <f>#REF!+#REF!</f>
        <v>#REF!</v>
      </c>
      <c r="BU22" s="79" t="e">
        <f t="shared" si="66"/>
        <v>#REF!</v>
      </c>
      <c r="BV22" s="167"/>
      <c r="BW22" s="79"/>
      <c r="BX22" s="168"/>
      <c r="BY22" s="52" t="e">
        <f>AD22/S22</f>
        <v>#REF!</v>
      </c>
      <c r="BZ22" s="53" t="e">
        <f t="shared" si="67"/>
        <v>#REF!</v>
      </c>
      <c r="CA22" s="52" t="e">
        <f t="shared" si="45"/>
        <v>#REF!</v>
      </c>
      <c r="CB22" s="160" t="e">
        <f>#REF!+#REF!</f>
        <v>#REF!</v>
      </c>
      <c r="CC22" s="52" t="e">
        <f t="shared" si="46"/>
        <v>#REF!</v>
      </c>
      <c r="CD22" s="160" t="e">
        <f>#REF!+#REF!</f>
        <v>#REF!</v>
      </c>
      <c r="CE22" s="52" t="e">
        <f t="shared" si="68"/>
        <v>#REF!</v>
      </c>
      <c r="CF22" s="152"/>
      <c r="CG22" s="157"/>
      <c r="CH22" s="161"/>
      <c r="CI22" s="169"/>
      <c r="CJ22" s="161"/>
      <c r="CK22" s="170"/>
    </row>
    <row r="23" spans="2:92" s="185" customFormat="1" ht="26.25" hidden="1" customHeight="1" thickBot="1">
      <c r="B23" s="172"/>
      <c r="C23" s="173" t="s">
        <v>69</v>
      </c>
      <c r="D23" s="174"/>
      <c r="E23" s="175">
        <f t="shared" si="32"/>
        <v>84140.739029999997</v>
      </c>
      <c r="F23" s="160">
        <f>F81+F103</f>
        <v>80782.787049999999</v>
      </c>
      <c r="G23" s="160">
        <f>G81+G103</f>
        <v>3357.9519799999998</v>
      </c>
      <c r="H23" s="175">
        <f>I23+J23</f>
        <v>-1763.8266499999972</v>
      </c>
      <c r="I23" s="160">
        <f>I81+I103</f>
        <v>1594.1253300000026</v>
      </c>
      <c r="J23" s="160">
        <f>J81+J103</f>
        <v>-3357.9519799999998</v>
      </c>
      <c r="K23" s="90">
        <f>L23+M23</f>
        <v>82376.912379999994</v>
      </c>
      <c r="L23" s="90">
        <f>L81+L103</f>
        <v>82376.912379999994</v>
      </c>
      <c r="M23" s="90">
        <f>M81+M103</f>
        <v>0</v>
      </c>
      <c r="N23" s="176">
        <f>O23+P23</f>
        <v>3740.8475899999976</v>
      </c>
      <c r="O23" s="161">
        <f>O81+O103</f>
        <v>3740.8475899999976</v>
      </c>
      <c r="P23" s="161">
        <f>P81+P103</f>
        <v>0</v>
      </c>
      <c r="Q23" s="175">
        <f>R23+S23</f>
        <v>86117.759969999999</v>
      </c>
      <c r="R23" s="160">
        <f>R81+R103</f>
        <v>86117.759969999999</v>
      </c>
      <c r="S23" s="160">
        <f>S81+S103</f>
        <v>0</v>
      </c>
      <c r="T23" s="161">
        <f>T81+T103</f>
        <v>36442.757920000004</v>
      </c>
      <c r="U23" s="145">
        <f t="shared" si="47"/>
        <v>0.42317354669577112</v>
      </c>
      <c r="V23" s="161">
        <f>V81+V103</f>
        <v>36442.757920000004</v>
      </c>
      <c r="W23" s="145">
        <f t="shared" si="48"/>
        <v>0.42317354669577112</v>
      </c>
      <c r="X23" s="54">
        <f t="shared" si="34"/>
        <v>0</v>
      </c>
      <c r="Y23" s="145" t="e">
        <f t="shared" si="49"/>
        <v>#DIV/0!</v>
      </c>
      <c r="Z23" s="54">
        <f t="shared" si="50"/>
        <v>45934.154460000005</v>
      </c>
      <c r="AA23" s="145">
        <f t="shared" si="51"/>
        <v>0.53338770627570475</v>
      </c>
      <c r="AB23" s="161">
        <f>AB81+AB103</f>
        <v>45934.154460000005</v>
      </c>
      <c r="AC23" s="145">
        <f t="shared" si="52"/>
        <v>0.53338770627570475</v>
      </c>
      <c r="AD23" s="161">
        <f>AD81+AD103</f>
        <v>0</v>
      </c>
      <c r="AE23" s="176">
        <f>AF23+AG23</f>
        <v>0</v>
      </c>
      <c r="AF23" s="161">
        <f>AF81+AF103</f>
        <v>0</v>
      </c>
      <c r="AG23" s="161"/>
      <c r="AH23" s="176">
        <f>AI23+AJ23</f>
        <v>9658.701500000001</v>
      </c>
      <c r="AI23" s="161">
        <f>AI81+AI103</f>
        <v>9658.701500000001</v>
      </c>
      <c r="AJ23" s="161"/>
      <c r="AK23" s="161">
        <f>AK81+AK103</f>
        <v>6229.9561800000001</v>
      </c>
      <c r="AL23" s="177">
        <f t="shared" si="53"/>
        <v>0.64500970239115474</v>
      </c>
      <c r="AM23" s="163">
        <f t="shared" si="54"/>
        <v>7.5627454343779821E-2</v>
      </c>
      <c r="AN23" s="161">
        <f>AN81+AN103</f>
        <v>6229.9561800000001</v>
      </c>
      <c r="AO23" s="164">
        <f t="shared" si="55"/>
        <v>0.64500970239115474</v>
      </c>
      <c r="AP23" s="163">
        <f t="shared" si="56"/>
        <v>7.5627454343779821E-2</v>
      </c>
      <c r="AQ23" s="161">
        <f>AQ81+AQ103</f>
        <v>0</v>
      </c>
      <c r="AR23" s="164" t="e">
        <f t="shared" si="57"/>
        <v>#DIV/0!</v>
      </c>
      <c r="AS23" s="164" t="e">
        <f t="shared" si="58"/>
        <v>#DIV/0!</v>
      </c>
      <c r="AT23" s="161">
        <f>AT81+AT103</f>
        <v>56700.482830000001</v>
      </c>
      <c r="AU23" s="142">
        <f t="shared" si="36"/>
        <v>0.68830551172449761</v>
      </c>
      <c r="AV23" s="161">
        <f>AV81+AV103</f>
        <v>56700.482830000001</v>
      </c>
      <c r="AW23" s="150">
        <f t="shared" si="37"/>
        <v>0.68830551172449761</v>
      </c>
      <c r="AX23" s="161">
        <f>AX81+AX103</f>
        <v>0</v>
      </c>
      <c r="AY23" s="150" t="e">
        <f>AX23/M23</f>
        <v>#DIV/0!</v>
      </c>
      <c r="AZ23" s="161">
        <f>AZ81+AZ103</f>
        <v>25676.429550000001</v>
      </c>
      <c r="BA23" s="143">
        <f t="shared" si="38"/>
        <v>0.31169448827550245</v>
      </c>
      <c r="BB23" s="161">
        <f>BB81+BB103</f>
        <v>25676.429550000001</v>
      </c>
      <c r="BC23" s="143">
        <f t="shared" si="39"/>
        <v>0.31169448827550245</v>
      </c>
      <c r="BD23" s="152">
        <f t="shared" si="40"/>
        <v>0</v>
      </c>
      <c r="BE23" s="165" t="e">
        <f>BD23/S23</f>
        <v>#DIV/0!</v>
      </c>
      <c r="BF23" s="161">
        <f t="shared" si="59"/>
        <v>56700.482830000001</v>
      </c>
      <c r="BG23" s="80">
        <f t="shared" si="60"/>
        <v>1</v>
      </c>
      <c r="BH23" s="161">
        <f>BH81+BH103</f>
        <v>56700.482830000001</v>
      </c>
      <c r="BI23" s="80"/>
      <c r="BJ23" s="161">
        <f>BJ81+BJ103</f>
        <v>0</v>
      </c>
      <c r="BK23" s="80"/>
      <c r="BL23" s="178">
        <f t="shared" si="61"/>
        <v>0</v>
      </c>
      <c r="BM23" s="80">
        <f t="shared" si="62"/>
        <v>0</v>
      </c>
      <c r="BN23" s="179">
        <f>BN81+BN103</f>
        <v>0</v>
      </c>
      <c r="BO23" s="80">
        <f t="shared" si="63"/>
        <v>0</v>
      </c>
      <c r="BP23" s="179"/>
      <c r="BQ23" s="80"/>
      <c r="BR23" s="178">
        <f t="shared" si="64"/>
        <v>25676.429550000001</v>
      </c>
      <c r="BS23" s="79">
        <f t="shared" si="65"/>
        <v>0.31169448827550245</v>
      </c>
      <c r="BT23" s="179">
        <f>BT81+BT103</f>
        <v>25676.429550000001</v>
      </c>
      <c r="BU23" s="79">
        <f t="shared" si="66"/>
        <v>1</v>
      </c>
      <c r="BV23" s="179"/>
      <c r="BW23" s="79"/>
      <c r="BX23" s="180"/>
      <c r="BY23" s="52" t="e">
        <f>AD23/S23</f>
        <v>#DIV/0!</v>
      </c>
      <c r="BZ23" s="53" t="e">
        <f t="shared" si="67"/>
        <v>#REF!</v>
      </c>
      <c r="CA23" s="52" t="e">
        <f t="shared" si="45"/>
        <v>#REF!</v>
      </c>
      <c r="CB23" s="160" t="e">
        <f>CB81+CB103</f>
        <v>#REF!</v>
      </c>
      <c r="CC23" s="52" t="e">
        <f t="shared" si="46"/>
        <v>#REF!</v>
      </c>
      <c r="CD23" s="160">
        <f>CD81+CD103</f>
        <v>0</v>
      </c>
      <c r="CE23" s="52" t="e">
        <f t="shared" si="68"/>
        <v>#DIV/0!</v>
      </c>
      <c r="CF23" s="181"/>
      <c r="CG23" s="182"/>
      <c r="CH23" s="176"/>
      <c r="CI23" s="183"/>
      <c r="CJ23" s="176"/>
      <c r="CK23" s="184"/>
    </row>
    <row r="24" spans="2:92" s="185" customFormat="1" ht="21" hidden="1" customHeight="1" thickBot="1">
      <c r="B24" s="172"/>
      <c r="C24" s="186" t="s">
        <v>70</v>
      </c>
      <c r="D24" s="174"/>
      <c r="E24" s="175">
        <f t="shared" si="32"/>
        <v>54776.057000000001</v>
      </c>
      <c r="F24" s="160">
        <f>F36+F46+F54</f>
        <v>54776.057000000001</v>
      </c>
      <c r="G24" s="160"/>
      <c r="H24" s="175">
        <f>I24+J24</f>
        <v>-53040.057000000001</v>
      </c>
      <c r="I24" s="160">
        <f>I36+I46+I54</f>
        <v>-53040.057000000001</v>
      </c>
      <c r="J24" s="160"/>
      <c r="K24" s="90">
        <f>L24+M24</f>
        <v>1736</v>
      </c>
      <c r="L24" s="90">
        <f>L36+L46+L54</f>
        <v>1736</v>
      </c>
      <c r="M24" s="90"/>
      <c r="N24" s="176">
        <f>O24+P24</f>
        <v>0</v>
      </c>
      <c r="O24" s="161">
        <f>O36+O46+O54</f>
        <v>0</v>
      </c>
      <c r="P24" s="161"/>
      <c r="Q24" s="175">
        <f>R24+S24</f>
        <v>3036</v>
      </c>
      <c r="R24" s="160">
        <f>R36+R46+R54</f>
        <v>3036</v>
      </c>
      <c r="S24" s="160"/>
      <c r="T24" s="161">
        <f>T36+T46+T54</f>
        <v>9601.9529999999995</v>
      </c>
      <c r="U24" s="145">
        <f t="shared" si="47"/>
        <v>3.1626986166007902</v>
      </c>
      <c r="V24" s="161">
        <f>V36+V46+V54</f>
        <v>9601.9529999999995</v>
      </c>
      <c r="W24" s="145">
        <f t="shared" si="48"/>
        <v>3.1626986166007902</v>
      </c>
      <c r="X24" s="54">
        <f t="shared" si="34"/>
        <v>0</v>
      </c>
      <c r="Y24" s="145" t="e">
        <f t="shared" si="49"/>
        <v>#DIV/0!</v>
      </c>
      <c r="Z24" s="54">
        <f t="shared" si="50"/>
        <v>-7865.9529999999995</v>
      </c>
      <c r="AA24" s="145">
        <f t="shared" si="51"/>
        <v>-2.590893610013175</v>
      </c>
      <c r="AB24" s="161">
        <f>AB36+AB46+AB54</f>
        <v>-7865.9529999999995</v>
      </c>
      <c r="AC24" s="145">
        <f t="shared" si="52"/>
        <v>-2.590893610013175</v>
      </c>
      <c r="AD24" s="161"/>
      <c r="AE24" s="176">
        <f>AF24+AG24</f>
        <v>0</v>
      </c>
      <c r="AF24" s="161">
        <f>AF36+AF46+AF54</f>
        <v>0</v>
      </c>
      <c r="AG24" s="161"/>
      <c r="AH24" s="176">
        <f>AI24+AJ24</f>
        <v>4570.6840000000002</v>
      </c>
      <c r="AI24" s="161">
        <f>AI36+AI46+AI54</f>
        <v>4570.6840000000002</v>
      </c>
      <c r="AJ24" s="161"/>
      <c r="AK24" s="161">
        <f>AK36+AK46+AK54</f>
        <v>1736</v>
      </c>
      <c r="AL24" s="177">
        <f t="shared" si="53"/>
        <v>0.37981186185699994</v>
      </c>
      <c r="AM24" s="163">
        <f t="shared" si="54"/>
        <v>1</v>
      </c>
      <c r="AN24" s="161">
        <f>AN36+AN46+AN54</f>
        <v>1736</v>
      </c>
      <c r="AO24" s="164">
        <f t="shared" si="55"/>
        <v>0.37981186185699994</v>
      </c>
      <c r="AP24" s="163">
        <f t="shared" si="56"/>
        <v>1</v>
      </c>
      <c r="AQ24" s="161">
        <f>AQ36+AQ46+AQ54</f>
        <v>0</v>
      </c>
      <c r="AR24" s="164" t="e">
        <f t="shared" si="57"/>
        <v>#DIV/0!</v>
      </c>
      <c r="AS24" s="164" t="e">
        <f t="shared" si="58"/>
        <v>#DIV/0!</v>
      </c>
      <c r="AT24" s="161">
        <f>AT36+AT46+AT54</f>
        <v>1736</v>
      </c>
      <c r="AU24" s="142">
        <f t="shared" si="36"/>
        <v>1</v>
      </c>
      <c r="AV24" s="161">
        <f>AV36+AV46+AV54</f>
        <v>1736</v>
      </c>
      <c r="AW24" s="150">
        <f t="shared" si="37"/>
        <v>1</v>
      </c>
      <c r="AX24" s="161">
        <f>AX36+AX46+AX54</f>
        <v>0</v>
      </c>
      <c r="AY24" s="150" t="e">
        <f>AX24/M24</f>
        <v>#DIV/0!</v>
      </c>
      <c r="AZ24" s="161">
        <f>AZ36+AZ46+AZ54</f>
        <v>0</v>
      </c>
      <c r="BA24" s="143">
        <f t="shared" si="38"/>
        <v>0</v>
      </c>
      <c r="BB24" s="161">
        <f>BB36+BB46+BB54</f>
        <v>0</v>
      </c>
      <c r="BC24" s="143">
        <f t="shared" si="39"/>
        <v>0</v>
      </c>
      <c r="BD24" s="152">
        <f t="shared" si="40"/>
        <v>0</v>
      </c>
      <c r="BE24" s="165" t="e">
        <f>BD24/S24</f>
        <v>#DIV/0!</v>
      </c>
      <c r="BF24" s="161">
        <f t="shared" si="59"/>
        <v>1736</v>
      </c>
      <c r="BG24" s="80">
        <f t="shared" si="60"/>
        <v>1</v>
      </c>
      <c r="BH24" s="161">
        <f>BH36+BH46+BH54</f>
        <v>1736</v>
      </c>
      <c r="BI24" s="80"/>
      <c r="BJ24" s="161"/>
      <c r="BK24" s="80"/>
      <c r="BL24" s="178">
        <f t="shared" si="61"/>
        <v>0</v>
      </c>
      <c r="BM24" s="80">
        <f t="shared" si="62"/>
        <v>0</v>
      </c>
      <c r="BN24" s="179">
        <f>BN36+BN46+BN54</f>
        <v>0</v>
      </c>
      <c r="BO24" s="80">
        <f t="shared" si="63"/>
        <v>0</v>
      </c>
      <c r="BP24" s="179"/>
      <c r="BQ24" s="80"/>
      <c r="BR24" s="178">
        <f t="shared" si="64"/>
        <v>0</v>
      </c>
      <c r="BS24" s="79">
        <f t="shared" si="65"/>
        <v>0</v>
      </c>
      <c r="BT24" s="179">
        <f>BT36+BT46+BT54</f>
        <v>0</v>
      </c>
      <c r="BU24" s="79" t="e">
        <f t="shared" si="66"/>
        <v>#DIV/0!</v>
      </c>
      <c r="BV24" s="179"/>
      <c r="BW24" s="79"/>
      <c r="BX24" s="180"/>
      <c r="BY24" s="52" t="e">
        <f>AD24/S24</f>
        <v>#DIV/0!</v>
      </c>
      <c r="BZ24" s="53" t="e">
        <f t="shared" si="67"/>
        <v>#REF!</v>
      </c>
      <c r="CA24" s="52" t="e">
        <f t="shared" si="45"/>
        <v>#REF!</v>
      </c>
      <c r="CB24" s="160" t="e">
        <f>CB36+CB46+CB54</f>
        <v>#REF!</v>
      </c>
      <c r="CC24" s="52" t="e">
        <f t="shared" si="46"/>
        <v>#REF!</v>
      </c>
      <c r="CD24" s="160"/>
      <c r="CE24" s="52" t="e">
        <f t="shared" si="68"/>
        <v>#DIV/0!</v>
      </c>
      <c r="CF24" s="181"/>
      <c r="CG24" s="182"/>
      <c r="CH24" s="176"/>
      <c r="CI24" s="183"/>
      <c r="CJ24" s="176"/>
      <c r="CK24" s="184"/>
    </row>
    <row r="25" spans="2:92" s="185" customFormat="1" ht="18.75" hidden="1" customHeight="1" thickBot="1">
      <c r="B25" s="187"/>
      <c r="C25" s="188" t="s">
        <v>71</v>
      </c>
      <c r="D25" s="189"/>
      <c r="E25" s="264">
        <f t="shared" si="32"/>
        <v>54497.392</v>
      </c>
      <c r="F25" s="190">
        <f>F37+F48+F56</f>
        <v>54497.392</v>
      </c>
      <c r="G25" s="190"/>
      <c r="H25" s="264">
        <f>I25+J25</f>
        <v>-40673.15958</v>
      </c>
      <c r="I25" s="190">
        <f>I37+I48+I56</f>
        <v>-40673.15958</v>
      </c>
      <c r="J25" s="190"/>
      <c r="K25" s="90">
        <f>L25+M25</f>
        <v>13824.23242</v>
      </c>
      <c r="L25" s="90">
        <f>L37+L48+L56</f>
        <v>13824.23242</v>
      </c>
      <c r="M25" s="90"/>
      <c r="N25" s="191">
        <f>O25+P25</f>
        <v>-892.01442000000077</v>
      </c>
      <c r="O25" s="192">
        <f>O37+O48+O56</f>
        <v>-892.01442000000077</v>
      </c>
      <c r="P25" s="192"/>
      <c r="Q25" s="264">
        <f>R25+S25</f>
        <v>12932.217999999999</v>
      </c>
      <c r="R25" s="190">
        <f>R37+R48+R56</f>
        <v>12932.217999999999</v>
      </c>
      <c r="S25" s="190"/>
      <c r="T25" s="192">
        <f>T37+T48+T56</f>
        <v>28626.533739999999</v>
      </c>
      <c r="U25" s="193">
        <f t="shared" si="47"/>
        <v>2.2135826770009599</v>
      </c>
      <c r="V25" s="192">
        <f>V37+V48+V56</f>
        <v>28626.533739999999</v>
      </c>
      <c r="W25" s="193">
        <f t="shared" si="48"/>
        <v>2.2135826770009599</v>
      </c>
      <c r="X25" s="194">
        <f t="shared" si="34"/>
        <v>0</v>
      </c>
      <c r="Y25" s="193" t="e">
        <f t="shared" si="49"/>
        <v>#DIV/0!</v>
      </c>
      <c r="Z25" s="194">
        <f t="shared" si="50"/>
        <v>-14878.090319999999</v>
      </c>
      <c r="AA25" s="193">
        <f t="shared" si="51"/>
        <v>-1.1504670212023955</v>
      </c>
      <c r="AB25" s="192">
        <f>AB37+AB48+AB56</f>
        <v>-14878.090319999999</v>
      </c>
      <c r="AC25" s="193">
        <f t="shared" si="52"/>
        <v>-1.1504670212023955</v>
      </c>
      <c r="AD25" s="192"/>
      <c r="AE25" s="191">
        <f>AF25+AG25</f>
        <v>0</v>
      </c>
      <c r="AF25" s="192">
        <f>AF37+AF48+AF56</f>
        <v>0</v>
      </c>
      <c r="AG25" s="192"/>
      <c r="AH25" s="191">
        <f>AI25+AJ25</f>
        <v>8966.6490000000013</v>
      </c>
      <c r="AI25" s="192">
        <f>AI37+AI48+AI56</f>
        <v>8966.6490000000013</v>
      </c>
      <c r="AJ25" s="192"/>
      <c r="AK25" s="192">
        <f>AK37+AK48+AK56</f>
        <v>12816.02542</v>
      </c>
      <c r="AL25" s="195">
        <f t="shared" si="53"/>
        <v>1.4292993313332549</v>
      </c>
      <c r="AM25" s="196">
        <f t="shared" si="54"/>
        <v>0.92706958553869567</v>
      </c>
      <c r="AN25" s="192" t="e">
        <f>#REF!+AN48+AN56</f>
        <v>#REF!</v>
      </c>
      <c r="AO25" s="197" t="e">
        <f t="shared" si="55"/>
        <v>#REF!</v>
      </c>
      <c r="AP25" s="196" t="e">
        <f t="shared" si="56"/>
        <v>#REF!</v>
      </c>
      <c r="AQ25" s="192">
        <f>AQ37+AQ48+AQ56</f>
        <v>0</v>
      </c>
      <c r="AR25" s="197" t="e">
        <f t="shared" si="57"/>
        <v>#DIV/0!</v>
      </c>
      <c r="AS25" s="197" t="e">
        <f t="shared" si="58"/>
        <v>#DIV/0!</v>
      </c>
      <c r="AT25" s="192">
        <f>AT37+AT48+AT56</f>
        <v>12891.814420000001</v>
      </c>
      <c r="AU25" s="198">
        <f t="shared" si="36"/>
        <v>0.93255191524044123</v>
      </c>
      <c r="AV25" s="192">
        <f>AV37+AV48+AV56</f>
        <v>12891.814420000001</v>
      </c>
      <c r="AW25" s="199">
        <f t="shared" si="37"/>
        <v>0.93255191524044123</v>
      </c>
      <c r="AX25" s="192">
        <f>AX37+AX48+AX56</f>
        <v>0</v>
      </c>
      <c r="AY25" s="199" t="e">
        <f>AX25/M25</f>
        <v>#DIV/0!</v>
      </c>
      <c r="AZ25" s="192">
        <f>AZ37+AZ48+AZ56</f>
        <v>932.41800000000012</v>
      </c>
      <c r="BA25" s="200">
        <f t="shared" si="38"/>
        <v>6.7448084759558755E-2</v>
      </c>
      <c r="BB25" s="192">
        <f>BB37+BB48+BB56</f>
        <v>932.41800000000012</v>
      </c>
      <c r="BC25" s="200">
        <f t="shared" si="39"/>
        <v>6.7448084759558755E-2</v>
      </c>
      <c r="BD25" s="201">
        <f t="shared" si="40"/>
        <v>0</v>
      </c>
      <c r="BE25" s="202" t="e">
        <f>BD25/S25</f>
        <v>#DIV/0!</v>
      </c>
      <c r="BF25" s="192">
        <f t="shared" si="59"/>
        <v>12075.589</v>
      </c>
      <c r="BG25" s="80">
        <f t="shared" si="60"/>
        <v>0.93668653663415047</v>
      </c>
      <c r="BH25" s="192">
        <f>BH37+BH48+BH56</f>
        <v>12075.589</v>
      </c>
      <c r="BI25" s="80"/>
      <c r="BJ25" s="192"/>
      <c r="BK25" s="80"/>
      <c r="BL25" s="203">
        <f t="shared" si="61"/>
        <v>816.22542000000067</v>
      </c>
      <c r="BM25" s="80">
        <f t="shared" si="62"/>
        <v>6.3313463365849518E-2</v>
      </c>
      <c r="BN25" s="204">
        <f>BN37+BN48+BN56</f>
        <v>816.22542000000067</v>
      </c>
      <c r="BO25" s="80">
        <f t="shared" si="63"/>
        <v>6.3313463365849518E-2</v>
      </c>
      <c r="BP25" s="204"/>
      <c r="BQ25" s="80"/>
      <c r="BR25" s="203">
        <f t="shared" si="64"/>
        <v>1748.6434200000008</v>
      </c>
      <c r="BS25" s="79">
        <f t="shared" si="65"/>
        <v>0.12649117628188725</v>
      </c>
      <c r="BT25" s="204">
        <f>BT37+BT48+BT56</f>
        <v>1748.6434200000008</v>
      </c>
      <c r="BU25" s="79">
        <f t="shared" si="66"/>
        <v>1.875385739014048</v>
      </c>
      <c r="BV25" s="204"/>
      <c r="BW25" s="79"/>
      <c r="BX25" s="180"/>
      <c r="BY25" s="52" t="e">
        <f>AD25/S25</f>
        <v>#DIV/0!</v>
      </c>
      <c r="BZ25" s="53" t="e">
        <f t="shared" si="67"/>
        <v>#REF!</v>
      </c>
      <c r="CA25" s="52" t="e">
        <f t="shared" si="45"/>
        <v>#REF!</v>
      </c>
      <c r="CB25" s="160" t="e">
        <f>CB37+CB48+CB56</f>
        <v>#REF!</v>
      </c>
      <c r="CC25" s="52" t="e">
        <f t="shared" si="46"/>
        <v>#REF!</v>
      </c>
      <c r="CD25" s="160"/>
      <c r="CE25" s="52" t="e">
        <f t="shared" si="68"/>
        <v>#DIV/0!</v>
      </c>
      <c r="CF25" s="181"/>
      <c r="CG25" s="182"/>
      <c r="CH25" s="176"/>
      <c r="CI25" s="183"/>
      <c r="CJ25" s="176"/>
      <c r="CK25" s="184"/>
    </row>
    <row r="26" spans="2:92" s="219" customFormat="1" ht="46.5" customHeight="1" thickBot="1">
      <c r="B26" s="205" t="s">
        <v>72</v>
      </c>
      <c r="C26" s="206" t="s">
        <v>73</v>
      </c>
      <c r="D26" s="89" t="s">
        <v>74</v>
      </c>
      <c r="E26" s="677" t="e">
        <f t="shared" si="32"/>
        <v>#REF!</v>
      </c>
      <c r="F26" s="677" t="e">
        <f>#REF!+#REF!</f>
        <v>#REF!</v>
      </c>
      <c r="G26" s="677" t="e">
        <f>#REF!+#REF!</f>
        <v>#REF!</v>
      </c>
      <c r="H26" s="677" t="e">
        <f>I26+J26</f>
        <v>#REF!</v>
      </c>
      <c r="I26" s="677" t="e">
        <f>#REF!+#REF!</f>
        <v>#REF!</v>
      </c>
      <c r="J26" s="677" t="e">
        <f>#REF!+#REF!</f>
        <v>#REF!</v>
      </c>
      <c r="K26" s="90">
        <f>L26+M26</f>
        <v>930231.17367000016</v>
      </c>
      <c r="L26" s="90">
        <f>L28+L31+L38+L41+L49+L57+L63+L68+L72+L74+L76+L78+L81</f>
        <v>930231.17367000016</v>
      </c>
      <c r="M26" s="90">
        <f>M28+M31+M38+M41+M49+M57+M68+M72+M74+M76+M78+M81</f>
        <v>0</v>
      </c>
      <c r="N26" s="90">
        <f>O26+P26</f>
        <v>-10426.533810000012</v>
      </c>
      <c r="O26" s="90">
        <f>O28+O31+O38+O41+O49+O57+O63+O68+O72+O74+O76+O78+O81</f>
        <v>-10426.533810000012</v>
      </c>
      <c r="P26" s="90">
        <f>P28+P31+P38+P41+P49+P57+P68+P72+P74+P76+P78+P81</f>
        <v>0</v>
      </c>
      <c r="Q26" s="677">
        <f>R26+S26</f>
        <v>922988.02902000013</v>
      </c>
      <c r="R26" s="677">
        <f>R28+R31+R38+R41+R49+R57+R63+R68+R72+R74+R76+R78+R81</f>
        <v>922988.02902000013</v>
      </c>
      <c r="S26" s="677">
        <f>S28+S31+S38+S41+S49+S57+S68+S72+S74+S76+S78+S81</f>
        <v>0</v>
      </c>
      <c r="T26" s="90">
        <f>V26+X26</f>
        <v>756793.88361999998</v>
      </c>
      <c r="U26" s="91">
        <f t="shared" si="47"/>
        <v>0.81993900226803607</v>
      </c>
      <c r="V26" s="90">
        <f>V28+V31+V38+V41+V49+V57+V63+V68+V72+V74+V76+V78+V81</f>
        <v>756793.88361999998</v>
      </c>
      <c r="W26" s="91">
        <f t="shared" si="48"/>
        <v>0.81993900226803607</v>
      </c>
      <c r="X26" s="90">
        <f t="shared" si="34"/>
        <v>0</v>
      </c>
      <c r="Y26" s="91">
        <v>0</v>
      </c>
      <c r="Z26" s="90">
        <f t="shared" si="50"/>
        <v>177937.29005000001</v>
      </c>
      <c r="AA26" s="91">
        <f t="shared" si="51"/>
        <v>0.19278396301513062</v>
      </c>
      <c r="AB26" s="90">
        <f>AB28+AB31+AB38+AB41+AB49+AB57+AB63+AB68+AB72+AB74+AB76+AB78+AB81</f>
        <v>177937.29005000001</v>
      </c>
      <c r="AC26" s="91">
        <f t="shared" si="52"/>
        <v>0.19278396301513062</v>
      </c>
      <c r="AD26" s="90">
        <f>AD28+AD31+AD38+AD41+AD49+AD57+AD68+AD72+AD74+AD76+AD78+AD81</f>
        <v>0</v>
      </c>
      <c r="AE26" s="90" t="e">
        <f>#REF!+#REF!</f>
        <v>#REF!</v>
      </c>
      <c r="AF26" s="90" t="e">
        <f>#REF!+#REF!</f>
        <v>#REF!</v>
      </c>
      <c r="AG26" s="90" t="e">
        <f>#REF!+#REF!</f>
        <v>#REF!</v>
      </c>
      <c r="AH26" s="90" t="e">
        <f>#REF!+#REF!</f>
        <v>#REF!</v>
      </c>
      <c r="AI26" s="90" t="e">
        <f>#REF!+#REF!</f>
        <v>#REF!</v>
      </c>
      <c r="AJ26" s="90" t="e">
        <f>#REF!+#REF!</f>
        <v>#REF!</v>
      </c>
      <c r="AK26" s="90">
        <f>AN26+AQ26</f>
        <v>164496.47326</v>
      </c>
      <c r="AL26" s="207" t="e">
        <f t="shared" si="53"/>
        <v>#REF!</v>
      </c>
      <c r="AM26" s="208">
        <f>AK26/Q26</f>
        <v>0.17822167578344134</v>
      </c>
      <c r="AN26" s="90">
        <f>AN28+AN31+AN38+AN41+AN49+AN57+AN63+AN68+AN72+AN74+AN78+AN81</f>
        <v>164496.47326</v>
      </c>
      <c r="AO26" s="209" t="e">
        <f t="shared" si="55"/>
        <v>#REF!</v>
      </c>
      <c r="AP26" s="208">
        <f>AN26/R26</f>
        <v>0.17822167578344134</v>
      </c>
      <c r="AQ26" s="90">
        <f>AQ28+AQ31+AQ38+AQ41+AQ49+AQ57+AQ63+AQ68+AQ72+AQ74+AQ76+AQ78+AQ81</f>
        <v>0</v>
      </c>
      <c r="AR26" s="209" t="e">
        <f t="shared" si="57"/>
        <v>#REF!</v>
      </c>
      <c r="AS26" s="209">
        <v>0</v>
      </c>
      <c r="AT26" s="90">
        <f>AV26+AX26</f>
        <v>850124.09893999994</v>
      </c>
      <c r="AU26" s="210">
        <f t="shared" si="36"/>
        <v>0.91388476649953876</v>
      </c>
      <c r="AV26" s="90">
        <f>AV28+AV31+AV38+AV41+AV49+AV57+AV63+AV68+AV72+AV74+AV76+AV78+AV81</f>
        <v>850124.09893999994</v>
      </c>
      <c r="AW26" s="211">
        <f t="shared" si="37"/>
        <v>0.91388476649953876</v>
      </c>
      <c r="AX26" s="90">
        <v>0</v>
      </c>
      <c r="AY26" s="211">
        <v>0</v>
      </c>
      <c r="AZ26" s="90">
        <f>BB26+BD26</f>
        <v>80107.074730000022</v>
      </c>
      <c r="BA26" s="211">
        <f t="shared" si="38"/>
        <v>8.6115233500461075E-2</v>
      </c>
      <c r="BB26" s="90">
        <f>BB28+BB31+BB38+BB41+BB49+BB57+BB63+BB68+BB72+BB74+BB76+BB78+BB81</f>
        <v>80107.074730000022</v>
      </c>
      <c r="BC26" s="211">
        <f t="shared" si="39"/>
        <v>8.6115233500461075E-2</v>
      </c>
      <c r="BD26" s="90">
        <f t="shared" si="40"/>
        <v>0</v>
      </c>
      <c r="BE26" s="211">
        <v>0</v>
      </c>
      <c r="BF26" s="90">
        <f t="shared" si="59"/>
        <v>850124.09893999994</v>
      </c>
      <c r="BG26" s="95">
        <f t="shared" si="60"/>
        <v>1</v>
      </c>
      <c r="BH26" s="90">
        <f>BH28+BH31+BH38+BH41+BH49+BH57+BH63+BH68+BH72+BH74+BH78+BH81</f>
        <v>850124.09893999994</v>
      </c>
      <c r="BI26" s="95">
        <f>BH26/AV26</f>
        <v>1</v>
      </c>
      <c r="BJ26" s="90">
        <f>BJ28+BJ31+BJ38+BJ41+BJ49+BJ57+BJ63+BJ68+BJ72+BJ74+BJ78+BJ81</f>
        <v>0</v>
      </c>
      <c r="BK26" s="95">
        <v>0</v>
      </c>
      <c r="BL26" s="90">
        <f>BN26+BP26</f>
        <v>0</v>
      </c>
      <c r="BM26" s="95">
        <f t="shared" si="62"/>
        <v>0</v>
      </c>
      <c r="BN26" s="90">
        <f>BN28+BN31+BN38+BN41+BN49+BN57+BN63+BN68+BN72+BN74+BN76+BN78+BN81</f>
        <v>0</v>
      </c>
      <c r="BO26" s="95">
        <f t="shared" si="63"/>
        <v>0</v>
      </c>
      <c r="BP26" s="90">
        <f>BP28+BP31+BP38+BP41+BP49+BP57+BP68+BP72+BP74+BP76+BP78+BP81</f>
        <v>0</v>
      </c>
      <c r="BQ26" s="95">
        <v>0</v>
      </c>
      <c r="BR26" s="90">
        <f>BT26+BV26</f>
        <v>80107.074730000095</v>
      </c>
      <c r="BS26" s="94">
        <f t="shared" si="65"/>
        <v>8.6115233500461158E-2</v>
      </c>
      <c r="BT26" s="90">
        <f>BT28+BT31+BT38+BT41+BT49+BT57+BT63+BT68+BT72+BT74+BT76+BT78+BT81</f>
        <v>80107.074730000095</v>
      </c>
      <c r="BU26" s="94">
        <f t="shared" si="66"/>
        <v>1.0000000000000009</v>
      </c>
      <c r="BV26" s="90">
        <f>BV28+BV31+BV38+BV41+BV49+BV57+BV68+BV72+BV74+BV76+BV78+BV81</f>
        <v>0</v>
      </c>
      <c r="BW26" s="94">
        <v>0</v>
      </c>
      <c r="BX26" s="212"/>
      <c r="BY26" s="97">
        <v>0</v>
      </c>
      <c r="BZ26" s="98" t="e">
        <f t="shared" si="67"/>
        <v>#REF!</v>
      </c>
      <c r="CA26" s="97" t="e">
        <f t="shared" si="45"/>
        <v>#REF!</v>
      </c>
      <c r="CB26" s="213" t="e">
        <f>CB28+CB31+CB38+CB41+CB49+CB57+CB63+CB68+CB72+CB74+CB76+CB78+CB81</f>
        <v>#REF!</v>
      </c>
      <c r="CC26" s="97" t="e">
        <f t="shared" si="46"/>
        <v>#REF!</v>
      </c>
      <c r="CD26" s="213">
        <f>CD28+CD31+CD38+CD41+CD49+CD57+CD68+CD72+CD74+CD76+CD78+CD81</f>
        <v>0</v>
      </c>
      <c r="CE26" s="97" t="e">
        <f t="shared" si="68"/>
        <v>#DIV/0!</v>
      </c>
      <c r="CF26" s="214" t="s">
        <v>75</v>
      </c>
      <c r="CG26" s="214" t="s">
        <v>76</v>
      </c>
      <c r="CH26" s="214"/>
      <c r="CI26" s="215"/>
      <c r="CJ26" s="214"/>
      <c r="CK26" s="216"/>
      <c r="CL26" s="217"/>
      <c r="CM26" s="217"/>
      <c r="CN26" s="218"/>
    </row>
    <row r="27" spans="2:92" s="185" customFormat="1" ht="30" customHeight="1">
      <c r="B27" s="220"/>
      <c r="C27" s="221" t="s">
        <v>77</v>
      </c>
      <c r="D27" s="222"/>
      <c r="E27" s="223"/>
      <c r="F27" s="224"/>
      <c r="G27" s="224"/>
      <c r="H27" s="223"/>
      <c r="I27" s="224"/>
      <c r="J27" s="224"/>
      <c r="K27" s="225"/>
      <c r="L27" s="226"/>
      <c r="M27" s="226"/>
      <c r="N27" s="225"/>
      <c r="O27" s="226"/>
      <c r="P27" s="226"/>
      <c r="Q27" s="223"/>
      <c r="R27" s="224"/>
      <c r="S27" s="224"/>
      <c r="T27" s="226"/>
      <c r="U27" s="227"/>
      <c r="V27" s="228"/>
      <c r="W27" s="227"/>
      <c r="X27" s="226"/>
      <c r="Y27" s="227"/>
      <c r="Z27" s="225"/>
      <c r="AA27" s="227"/>
      <c r="AB27" s="226"/>
      <c r="AC27" s="227"/>
      <c r="AD27" s="226"/>
      <c r="AE27" s="225"/>
      <c r="AF27" s="226"/>
      <c r="AG27" s="226"/>
      <c r="AH27" s="225"/>
      <c r="AI27" s="226"/>
      <c r="AJ27" s="226"/>
      <c r="AK27" s="226"/>
      <c r="AL27" s="229"/>
      <c r="AM27" s="230"/>
      <c r="AN27" s="226"/>
      <c r="AO27" s="231"/>
      <c r="AP27" s="230"/>
      <c r="AQ27" s="226"/>
      <c r="AR27" s="232"/>
      <c r="AS27" s="232"/>
      <c r="AT27" s="226"/>
      <c r="AU27" s="233"/>
      <c r="AV27" s="234"/>
      <c r="AW27" s="235"/>
      <c r="AX27" s="234"/>
      <c r="AY27" s="235"/>
      <c r="AZ27" s="234"/>
      <c r="BA27" s="236"/>
      <c r="BB27" s="234"/>
      <c r="BC27" s="236"/>
      <c r="BD27" s="234"/>
      <c r="BE27" s="199"/>
      <c r="BF27" s="237"/>
      <c r="BG27" s="238"/>
      <c r="BH27" s="234"/>
      <c r="BI27" s="239"/>
      <c r="BJ27" s="234"/>
      <c r="BK27" s="239"/>
      <c r="BL27" s="237"/>
      <c r="BM27" s="238"/>
      <c r="BN27" s="234"/>
      <c r="BO27" s="239"/>
      <c r="BP27" s="234"/>
      <c r="BQ27" s="239"/>
      <c r="BR27" s="237"/>
      <c r="BS27" s="237"/>
      <c r="BT27" s="234"/>
      <c r="BU27" s="234"/>
      <c r="BV27" s="234"/>
      <c r="BW27" s="234"/>
      <c r="BX27" s="240"/>
      <c r="BY27" s="241"/>
      <c r="BZ27" s="242"/>
      <c r="CA27" s="243"/>
      <c r="CB27" s="244"/>
      <c r="CC27" s="243"/>
      <c r="CD27" s="244"/>
      <c r="CE27" s="243"/>
      <c r="CF27" s="242"/>
      <c r="CG27" s="201"/>
      <c r="CH27" s="242"/>
      <c r="CI27" s="245"/>
      <c r="CJ27" s="242"/>
      <c r="CK27" s="246"/>
    </row>
    <row r="28" spans="2:92" s="269" customFormat="1" ht="27" customHeight="1">
      <c r="B28" s="247" t="s">
        <v>78</v>
      </c>
      <c r="C28" s="248" t="s">
        <v>79</v>
      </c>
      <c r="D28" s="1217" t="s">
        <v>80</v>
      </c>
      <c r="E28" s="249">
        <f t="shared" ref="E28:E46" si="69">F28+G28</f>
        <v>17049.826300000001</v>
      </c>
      <c r="F28" s="250">
        <f>SUM(F29:F30)</f>
        <v>17049.826300000001</v>
      </c>
      <c r="G28" s="250">
        <f>SUM(G29:G30)</f>
        <v>0</v>
      </c>
      <c r="H28" s="249">
        <f t="shared" ref="H28:H46" si="70">I28+J28</f>
        <v>-13412.3747</v>
      </c>
      <c r="I28" s="250">
        <f>SUM(I29:I30)</f>
        <v>-13412.3747</v>
      </c>
      <c r="J28" s="250"/>
      <c r="K28" s="251">
        <f t="shared" ref="K28:K67" si="71">L28+M28</f>
        <v>3637.4515999999999</v>
      </c>
      <c r="L28" s="252">
        <f>SUM(L29:L30)</f>
        <v>3637.4515999999999</v>
      </c>
      <c r="M28" s="252">
        <f>SUM(M29:M30)</f>
        <v>0</v>
      </c>
      <c r="N28" s="251">
        <f t="shared" ref="N28:N56" si="72">O28+P28</f>
        <v>3023.6</v>
      </c>
      <c r="O28" s="252">
        <f>SUM(O29:O30)</f>
        <v>3023.6</v>
      </c>
      <c r="P28" s="252"/>
      <c r="Q28" s="249">
        <f t="shared" ref="Q28:Q56" si="73">R28+S28</f>
        <v>6661.0515999999998</v>
      </c>
      <c r="R28" s="250">
        <f>SUM(R29:R30)</f>
        <v>6661.0515999999998</v>
      </c>
      <c r="S28" s="250">
        <f>SUM(S29:S30)</f>
        <v>0</v>
      </c>
      <c r="T28" s="252">
        <f>SUM(T29:T30)</f>
        <v>16054.196309999999</v>
      </c>
      <c r="U28" s="253">
        <f t="shared" si="47"/>
        <v>2.4101594273793046</v>
      </c>
      <c r="V28" s="252">
        <f>SUM(V29:V30)</f>
        <v>16054.196309999999</v>
      </c>
      <c r="W28" s="253">
        <f t="shared" si="48"/>
        <v>2.4101594273793046</v>
      </c>
      <c r="X28" s="252">
        <f>SUM(X29:X30)</f>
        <v>0</v>
      </c>
      <c r="Y28" s="253">
        <v>0</v>
      </c>
      <c r="Z28" s="251">
        <f t="shared" ref="Z28:Z56" si="74">AB28+AD28</f>
        <v>-12416.744709999999</v>
      </c>
      <c r="AA28" s="253">
        <f t="shared" si="51"/>
        <v>-1.8640817479930645</v>
      </c>
      <c r="AB28" s="252">
        <f>SUM(AB29:AB30)</f>
        <v>-12416.744709999999</v>
      </c>
      <c r="AC28" s="254">
        <f t="shared" si="52"/>
        <v>-1.8640817479930645</v>
      </c>
      <c r="AD28" s="252">
        <f>SUM(AD29:AD30)</f>
        <v>0</v>
      </c>
      <c r="AE28" s="251">
        <f t="shared" ref="AE28:AE46" si="75">AF28+AG28</f>
        <v>0</v>
      </c>
      <c r="AF28" s="252">
        <f>SUM(AF29:AF30)</f>
        <v>0</v>
      </c>
      <c r="AG28" s="252">
        <f>SUM(AG29:AG30)</f>
        <v>0</v>
      </c>
      <c r="AH28" s="251">
        <f t="shared" ref="AH28:AH57" si="76">AI28+AJ28</f>
        <v>0</v>
      </c>
      <c r="AI28" s="252">
        <f>SUM(AI29:AI30)</f>
        <v>0</v>
      </c>
      <c r="AJ28" s="252">
        <f>SUM(AJ29:AJ30)</f>
        <v>0</v>
      </c>
      <c r="AK28" s="252">
        <f>SUM(AK29:AK30)</f>
        <v>3637.4515999999999</v>
      </c>
      <c r="AL28" s="255">
        <v>0</v>
      </c>
      <c r="AM28" s="256">
        <f>AK28/Q28</f>
        <v>0.54607767938623986</v>
      </c>
      <c r="AN28" s="252">
        <f>SUM(AN29:AN30)</f>
        <v>3637.4515999999999</v>
      </c>
      <c r="AO28" s="257" t="e">
        <f t="shared" ref="AO28:AO81" si="77">AN28/AI28</f>
        <v>#DIV/0!</v>
      </c>
      <c r="AP28" s="256">
        <f>AN28/R28</f>
        <v>0.54607767938623986</v>
      </c>
      <c r="AQ28" s="252">
        <v>0</v>
      </c>
      <c r="AR28" s="258">
        <v>0</v>
      </c>
      <c r="AS28" s="258">
        <v>0</v>
      </c>
      <c r="AT28" s="252">
        <f>SUM(AT29:AT30)</f>
        <v>3637.4515999999999</v>
      </c>
      <c r="AU28" s="259">
        <f>AT28/K28</f>
        <v>1</v>
      </c>
      <c r="AV28" s="260">
        <f>SUM(AV29:AV30)</f>
        <v>3637.4515999999999</v>
      </c>
      <c r="AW28" s="261">
        <f>AV28/L28</f>
        <v>1</v>
      </c>
      <c r="AX28" s="260">
        <f>SUM(AX29:AX30)</f>
        <v>0</v>
      </c>
      <c r="AY28" s="261">
        <v>0</v>
      </c>
      <c r="AZ28" s="260">
        <f>SUM(AZ29:AZ30)</f>
        <v>0</v>
      </c>
      <c r="BA28" s="262">
        <f>AZ28/K28</f>
        <v>0</v>
      </c>
      <c r="BB28" s="260">
        <f>SUM(BB29:BB30)</f>
        <v>0</v>
      </c>
      <c r="BC28" s="262">
        <f>BB28/L28</f>
        <v>0</v>
      </c>
      <c r="BD28" s="260">
        <f>SUM(BD29:BD30)</f>
        <v>0</v>
      </c>
      <c r="BE28" s="262">
        <v>0</v>
      </c>
      <c r="BF28" s="176">
        <f t="shared" ref="BF28:BF49" si="78">BH28+BJ28</f>
        <v>3637.4515999999999</v>
      </c>
      <c r="BG28" s="262">
        <f>BF28/AT28</f>
        <v>1</v>
      </c>
      <c r="BH28" s="260">
        <f>BH29+BH30</f>
        <v>3637.4515999999999</v>
      </c>
      <c r="BI28" s="262">
        <f>BH28/AV28</f>
        <v>1</v>
      </c>
      <c r="BJ28" s="260">
        <f>SUM(BJ29:BJ30)</f>
        <v>0</v>
      </c>
      <c r="BK28" s="262">
        <v>0</v>
      </c>
      <c r="BL28" s="260">
        <f t="shared" ref="BL28:BL46" si="79">BN28+BP28</f>
        <v>0</v>
      </c>
      <c r="BM28" s="262">
        <f>BL28/AT28</f>
        <v>0</v>
      </c>
      <c r="BN28" s="260">
        <f>SUM(BN29:BN30)</f>
        <v>0</v>
      </c>
      <c r="BO28" s="262">
        <f>BN28/AV28</f>
        <v>0</v>
      </c>
      <c r="BP28" s="260">
        <f>SUM(BP29:BP30)</f>
        <v>0</v>
      </c>
      <c r="BQ28" s="262">
        <v>0</v>
      </c>
      <c r="BR28" s="176">
        <f t="shared" ref="BR28:BR46" si="80">BT28+BV28</f>
        <v>0</v>
      </c>
      <c r="BS28" s="263">
        <f>BR28/K28</f>
        <v>0</v>
      </c>
      <c r="BT28" s="260">
        <f>SUM(BT29:BT30)</f>
        <v>0</v>
      </c>
      <c r="BU28" s="263">
        <f t="shared" ref="BU28:BU30" si="81">BT28/L28</f>
        <v>0</v>
      </c>
      <c r="BV28" s="260">
        <f>SUM(BV29:BV30)</f>
        <v>0</v>
      </c>
      <c r="BW28" s="263">
        <v>0</v>
      </c>
      <c r="BX28" s="1218" t="s">
        <v>81</v>
      </c>
      <c r="BY28" s="265">
        <v>0</v>
      </c>
      <c r="BZ28" s="176" t="e">
        <f t="shared" ref="BZ28:BZ56" si="82">CB28+CD28</f>
        <v>#REF!</v>
      </c>
      <c r="CA28" s="265" t="e">
        <f t="shared" ref="CA28:CA58" si="83">BZ28/BT28</f>
        <v>#REF!</v>
      </c>
      <c r="CB28" s="260" t="e">
        <f>SUM(CB29:CB30)</f>
        <v>#REF!</v>
      </c>
      <c r="CC28" s="265" t="e">
        <f t="shared" ref="CC28:CC58" si="84">CB28/BV28</f>
        <v>#REF!</v>
      </c>
      <c r="CD28" s="260">
        <f>SUM(CD29:CD30)</f>
        <v>0</v>
      </c>
      <c r="CE28" s="265" t="e">
        <f t="shared" si="68"/>
        <v>#DIV/0!</v>
      </c>
      <c r="CF28" s="266" t="s">
        <v>81</v>
      </c>
      <c r="CG28" s="266" t="s">
        <v>81</v>
      </c>
      <c r="CH28" s="176">
        <f t="shared" ref="CH28:CH46" si="85">CI28+CJ28</f>
        <v>0</v>
      </c>
      <c r="CI28" s="267"/>
      <c r="CJ28" s="176">
        <f t="shared" ref="CJ28:CJ46" si="86">CK28+CL28</f>
        <v>0</v>
      </c>
      <c r="CK28" s="268"/>
    </row>
    <row r="29" spans="2:92" s="42" customFormat="1" ht="15.75" hidden="1" customHeight="1">
      <c r="B29" s="247"/>
      <c r="C29" s="270" t="s">
        <v>82</v>
      </c>
      <c r="D29" s="1217"/>
      <c r="E29" s="249">
        <f t="shared" si="69"/>
        <v>0</v>
      </c>
      <c r="F29" s="249">
        <v>0</v>
      </c>
      <c r="G29" s="249"/>
      <c r="H29" s="249">
        <f t="shared" si="70"/>
        <v>0</v>
      </c>
      <c r="I29" s="249">
        <f>L29-F29</f>
        <v>0</v>
      </c>
      <c r="J29" s="249"/>
      <c r="K29" s="251">
        <f t="shared" si="71"/>
        <v>0</v>
      </c>
      <c r="L29" s="251">
        <v>0</v>
      </c>
      <c r="M29" s="251">
        <v>0</v>
      </c>
      <c r="N29" s="251">
        <f t="shared" si="72"/>
        <v>0</v>
      </c>
      <c r="O29" s="251">
        <f>R29-L29</f>
        <v>0</v>
      </c>
      <c r="P29" s="251"/>
      <c r="Q29" s="249">
        <f t="shared" si="73"/>
        <v>0</v>
      </c>
      <c r="R29" s="249">
        <v>0</v>
      </c>
      <c r="S29" s="249"/>
      <c r="T29" s="251"/>
      <c r="U29" s="253" t="e">
        <f t="shared" si="47"/>
        <v>#DIV/0!</v>
      </c>
      <c r="V29" s="251"/>
      <c r="W29" s="253" t="e">
        <f t="shared" si="48"/>
        <v>#DIV/0!</v>
      </c>
      <c r="X29" s="251"/>
      <c r="Y29" s="253" t="e">
        <f t="shared" si="49"/>
        <v>#DIV/0!</v>
      </c>
      <c r="Z29" s="251">
        <f t="shared" si="74"/>
        <v>0</v>
      </c>
      <c r="AA29" s="253" t="e">
        <f t="shared" si="51"/>
        <v>#DIV/0!</v>
      </c>
      <c r="AB29" s="251"/>
      <c r="AC29" s="253" t="e">
        <f t="shared" si="52"/>
        <v>#DIV/0!</v>
      </c>
      <c r="AD29" s="251"/>
      <c r="AE29" s="251">
        <f t="shared" si="75"/>
        <v>0</v>
      </c>
      <c r="AF29" s="251"/>
      <c r="AG29" s="251"/>
      <c r="AH29" s="251">
        <f t="shared" si="76"/>
        <v>0</v>
      </c>
      <c r="AI29" s="251"/>
      <c r="AJ29" s="251"/>
      <c r="AK29" s="251">
        <f>AN29+AQ29</f>
        <v>0</v>
      </c>
      <c r="AL29" s="255" t="e">
        <f t="shared" ref="AL29:AL81" si="87">AK29/AH29</f>
        <v>#DIV/0!</v>
      </c>
      <c r="AM29" s="256">
        <v>0</v>
      </c>
      <c r="AN29" s="251">
        <v>0</v>
      </c>
      <c r="AO29" s="257" t="e">
        <f t="shared" si="77"/>
        <v>#DIV/0!</v>
      </c>
      <c r="AP29" s="256">
        <v>0</v>
      </c>
      <c r="AQ29" s="252">
        <v>0</v>
      </c>
      <c r="AR29" s="257" t="e">
        <f t="shared" si="57"/>
        <v>#DIV/0!</v>
      </c>
      <c r="AS29" s="257">
        <v>0</v>
      </c>
      <c r="AT29" s="251">
        <f>AV29+AX29</f>
        <v>0</v>
      </c>
      <c r="AU29" s="259">
        <v>0</v>
      </c>
      <c r="AV29" s="176">
        <v>0</v>
      </c>
      <c r="AW29" s="261">
        <v>0</v>
      </c>
      <c r="AX29" s="176">
        <v>0</v>
      </c>
      <c r="AY29" s="261">
        <v>0</v>
      </c>
      <c r="AZ29" s="176">
        <f>BB29+BD29</f>
        <v>0</v>
      </c>
      <c r="BA29" s="262">
        <v>0</v>
      </c>
      <c r="BB29" s="176">
        <f>F29-AV29</f>
        <v>0</v>
      </c>
      <c r="BC29" s="262">
        <v>0</v>
      </c>
      <c r="BD29" s="176">
        <f>G29-AX29</f>
        <v>0</v>
      </c>
      <c r="BE29" s="262">
        <v>0</v>
      </c>
      <c r="BF29" s="176">
        <f t="shared" si="78"/>
        <v>0</v>
      </c>
      <c r="BG29" s="262" t="e">
        <f t="shared" ref="BG29:BG81" si="88">BF29/AT29</f>
        <v>#DIV/0!</v>
      </c>
      <c r="BH29" s="176">
        <v>0</v>
      </c>
      <c r="BI29" s="262" t="e">
        <f t="shared" ref="BI29:BI81" si="89">BH29/AV29</f>
        <v>#DIV/0!</v>
      </c>
      <c r="BJ29" s="176">
        <v>0</v>
      </c>
      <c r="BK29" s="262">
        <v>0</v>
      </c>
      <c r="BL29" s="260">
        <f t="shared" si="79"/>
        <v>0</v>
      </c>
      <c r="BM29" s="262" t="e">
        <f t="shared" ref="BM29:BM81" si="90">BL29/AT29</f>
        <v>#DIV/0!</v>
      </c>
      <c r="BN29" s="176">
        <v>0</v>
      </c>
      <c r="BO29" s="262" t="e">
        <f t="shared" ref="BO29:BO81" si="91">BN29/AV29</f>
        <v>#DIV/0!</v>
      </c>
      <c r="BP29" s="176">
        <v>0</v>
      </c>
      <c r="BQ29" s="262">
        <v>0</v>
      </c>
      <c r="BR29" s="176">
        <f t="shared" si="80"/>
        <v>0</v>
      </c>
      <c r="BS29" s="263">
        <v>0</v>
      </c>
      <c r="BT29" s="176">
        <f>L29-BH29</f>
        <v>0</v>
      </c>
      <c r="BU29" s="263">
        <v>0</v>
      </c>
      <c r="BV29" s="176">
        <v>0</v>
      </c>
      <c r="BW29" s="263">
        <v>0</v>
      </c>
      <c r="BX29" s="1219"/>
      <c r="BY29" s="271" t="e">
        <f>AD29/S29</f>
        <v>#DIV/0!</v>
      </c>
      <c r="BZ29" s="176">
        <f t="shared" si="82"/>
        <v>0</v>
      </c>
      <c r="CA29" s="271" t="e">
        <f t="shared" si="83"/>
        <v>#DIV/0!</v>
      </c>
      <c r="CB29" s="176"/>
      <c r="CC29" s="271" t="e">
        <f t="shared" si="84"/>
        <v>#DIV/0!</v>
      </c>
      <c r="CD29" s="176"/>
      <c r="CE29" s="271" t="e">
        <f t="shared" si="68"/>
        <v>#DIV/0!</v>
      </c>
      <c r="CF29" s="266">
        <f t="shared" ref="CF29:CF46" si="92">CG29+CH29</f>
        <v>0</v>
      </c>
      <c r="CG29" s="272"/>
      <c r="CH29" s="176">
        <f t="shared" si="85"/>
        <v>0</v>
      </c>
      <c r="CI29" s="272"/>
      <c r="CJ29" s="176">
        <f t="shared" si="86"/>
        <v>0</v>
      </c>
      <c r="CK29" s="273"/>
    </row>
    <row r="30" spans="2:92" s="42" customFormat="1" ht="30" hidden="1" customHeight="1">
      <c r="B30" s="247"/>
      <c r="C30" s="270" t="s">
        <v>83</v>
      </c>
      <c r="D30" s="274" t="s">
        <v>84</v>
      </c>
      <c r="E30" s="249">
        <f t="shared" si="69"/>
        <v>17049.826300000001</v>
      </c>
      <c r="F30" s="249">
        <v>17049.826300000001</v>
      </c>
      <c r="G30" s="249"/>
      <c r="H30" s="249">
        <f t="shared" si="70"/>
        <v>-13412.3747</v>
      </c>
      <c r="I30" s="249">
        <f>L30-F30</f>
        <v>-13412.3747</v>
      </c>
      <c r="J30" s="249"/>
      <c r="K30" s="251">
        <f t="shared" si="71"/>
        <v>3637.4515999999999</v>
      </c>
      <c r="L30" s="251">
        <v>3637.4515999999999</v>
      </c>
      <c r="M30" s="251">
        <v>0</v>
      </c>
      <c r="N30" s="251">
        <f t="shared" si="72"/>
        <v>3023.6</v>
      </c>
      <c r="O30" s="251">
        <f>R30-L30</f>
        <v>3023.6</v>
      </c>
      <c r="P30" s="251"/>
      <c r="Q30" s="249">
        <f t="shared" si="73"/>
        <v>6661.0515999999998</v>
      </c>
      <c r="R30" s="249">
        <v>6661.0515999999998</v>
      </c>
      <c r="S30" s="249"/>
      <c r="T30" s="251">
        <f>V30+X30</f>
        <v>16054.196309999999</v>
      </c>
      <c r="U30" s="253">
        <f t="shared" si="47"/>
        <v>2.4101594273793046</v>
      </c>
      <c r="V30" s="251">
        <v>16054.196309999999</v>
      </c>
      <c r="W30" s="253">
        <f t="shared" si="48"/>
        <v>2.4101594273793046</v>
      </c>
      <c r="X30" s="251"/>
      <c r="Y30" s="253" t="e">
        <f t="shared" si="49"/>
        <v>#DIV/0!</v>
      </c>
      <c r="Z30" s="251">
        <f t="shared" si="74"/>
        <v>-12416.744709999999</v>
      </c>
      <c r="AA30" s="253">
        <f t="shared" si="51"/>
        <v>-1.8640817479930645</v>
      </c>
      <c r="AB30" s="251">
        <f>L30-V30</f>
        <v>-12416.744709999999</v>
      </c>
      <c r="AC30" s="253">
        <f t="shared" si="52"/>
        <v>-1.8640817479930645</v>
      </c>
      <c r="AD30" s="251"/>
      <c r="AE30" s="251">
        <f t="shared" si="75"/>
        <v>0</v>
      </c>
      <c r="AF30" s="251"/>
      <c r="AG30" s="251"/>
      <c r="AH30" s="251">
        <f t="shared" si="76"/>
        <v>0</v>
      </c>
      <c r="AI30" s="251"/>
      <c r="AJ30" s="251"/>
      <c r="AK30" s="251">
        <f>AN30+AQ30</f>
        <v>3637.4515999999999</v>
      </c>
      <c r="AL30" s="255" t="e">
        <f t="shared" si="87"/>
        <v>#DIV/0!</v>
      </c>
      <c r="AM30" s="256">
        <f t="shared" ref="AM30:AM81" si="93">AK30/Q30</f>
        <v>0.54607767938623986</v>
      </c>
      <c r="AN30" s="251">
        <v>3637.4515999999999</v>
      </c>
      <c r="AO30" s="257" t="e">
        <f t="shared" si="77"/>
        <v>#DIV/0!</v>
      </c>
      <c r="AP30" s="256">
        <f t="shared" ref="AP30:AP81" si="94">AN30/R30</f>
        <v>0.54607767938623986</v>
      </c>
      <c r="AQ30" s="252">
        <v>0</v>
      </c>
      <c r="AR30" s="257" t="e">
        <f t="shared" si="57"/>
        <v>#DIV/0!</v>
      </c>
      <c r="AS30" s="257">
        <v>0</v>
      </c>
      <c r="AT30" s="251">
        <f>AV30+AX30</f>
        <v>3637.4515999999999</v>
      </c>
      <c r="AU30" s="259">
        <f t="shared" ref="AU30:AU82" si="95">AT30/K30</f>
        <v>1</v>
      </c>
      <c r="AV30" s="176">
        <v>3637.4515999999999</v>
      </c>
      <c r="AW30" s="261">
        <f t="shared" ref="AW30:AW82" si="96">AV30/L30</f>
        <v>1</v>
      </c>
      <c r="AX30" s="176">
        <v>0</v>
      </c>
      <c r="AY30" s="261">
        <v>0</v>
      </c>
      <c r="AZ30" s="176">
        <f>BB30+BD30</f>
        <v>0</v>
      </c>
      <c r="BA30" s="262">
        <f t="shared" ref="BA30:BA82" si="97">AZ30/K30</f>
        <v>0</v>
      </c>
      <c r="BB30" s="176">
        <f>L30-AV30</f>
        <v>0</v>
      </c>
      <c r="BC30" s="262">
        <f t="shared" ref="BC30:BC82" si="98">BB30/L30</f>
        <v>0</v>
      </c>
      <c r="BD30" s="176">
        <f>G30-AX30</f>
        <v>0</v>
      </c>
      <c r="BE30" s="262">
        <v>0</v>
      </c>
      <c r="BF30" s="176">
        <f t="shared" si="78"/>
        <v>3637.4515999999999</v>
      </c>
      <c r="BG30" s="262">
        <f t="shared" si="88"/>
        <v>1</v>
      </c>
      <c r="BH30" s="176">
        <f>'[1]тыс. руб 1 знак'!$AV$27</f>
        <v>3637.4515999999999</v>
      </c>
      <c r="BI30" s="262">
        <f t="shared" si="89"/>
        <v>1</v>
      </c>
      <c r="BJ30" s="176">
        <v>0</v>
      </c>
      <c r="BK30" s="262">
        <v>0</v>
      </c>
      <c r="BL30" s="260">
        <f t="shared" si="79"/>
        <v>0</v>
      </c>
      <c r="BM30" s="262">
        <f t="shared" si="90"/>
        <v>0</v>
      </c>
      <c r="BN30" s="176">
        <v>0</v>
      </c>
      <c r="BO30" s="262">
        <f t="shared" si="91"/>
        <v>0</v>
      </c>
      <c r="BP30" s="176">
        <v>0</v>
      </c>
      <c r="BQ30" s="262">
        <v>0</v>
      </c>
      <c r="BR30" s="176">
        <f t="shared" si="80"/>
        <v>0</v>
      </c>
      <c r="BS30" s="263">
        <f t="shared" ref="BS30:BS88" si="99">BR30/K30</f>
        <v>0</v>
      </c>
      <c r="BT30" s="176">
        <f>L30-BH30</f>
        <v>0</v>
      </c>
      <c r="BU30" s="263">
        <f t="shared" si="81"/>
        <v>0</v>
      </c>
      <c r="BV30" s="176">
        <v>0</v>
      </c>
      <c r="BW30" s="263">
        <v>0</v>
      </c>
      <c r="BX30" s="1220"/>
      <c r="BY30" s="271" t="e">
        <f>AD30/S30</f>
        <v>#DIV/0!</v>
      </c>
      <c r="BZ30" s="176" t="e">
        <f t="shared" si="82"/>
        <v>#REF!</v>
      </c>
      <c r="CA30" s="271" t="e">
        <f t="shared" si="83"/>
        <v>#REF!</v>
      </c>
      <c r="CB30" s="176" t="e">
        <f>#REF!-#REF!</f>
        <v>#REF!</v>
      </c>
      <c r="CC30" s="271" t="e">
        <f t="shared" si="84"/>
        <v>#REF!</v>
      </c>
      <c r="CD30" s="176"/>
      <c r="CE30" s="271" t="e">
        <f t="shared" si="68"/>
        <v>#DIV/0!</v>
      </c>
      <c r="CF30" s="266">
        <f t="shared" si="92"/>
        <v>0</v>
      </c>
      <c r="CG30" s="272"/>
      <c r="CH30" s="176">
        <f t="shared" si="85"/>
        <v>0</v>
      </c>
      <c r="CI30" s="272"/>
      <c r="CJ30" s="176">
        <f t="shared" si="86"/>
        <v>0</v>
      </c>
      <c r="CK30" s="273"/>
    </row>
    <row r="31" spans="2:92" s="269" customFormat="1" ht="54" customHeight="1">
      <c r="B31" s="275" t="s">
        <v>85</v>
      </c>
      <c r="C31" s="248" t="s">
        <v>86</v>
      </c>
      <c r="D31" s="274" t="s">
        <v>87</v>
      </c>
      <c r="E31" s="249">
        <f t="shared" si="69"/>
        <v>847168.01617000008</v>
      </c>
      <c r="F31" s="250">
        <f>F32+F33</f>
        <v>847168.01617000008</v>
      </c>
      <c r="G31" s="250">
        <f>G32+G33</f>
        <v>0</v>
      </c>
      <c r="H31" s="249">
        <f t="shared" si="70"/>
        <v>-813883.14174000011</v>
      </c>
      <c r="I31" s="250">
        <f>I32+I33</f>
        <v>-813883.14174000011</v>
      </c>
      <c r="J31" s="250"/>
      <c r="K31" s="251">
        <f>L31+M31</f>
        <v>33284.874430000003</v>
      </c>
      <c r="L31" s="252">
        <f>L32+L33</f>
        <v>33284.874430000003</v>
      </c>
      <c r="M31" s="252">
        <f>M32+M33</f>
        <v>0</v>
      </c>
      <c r="N31" s="251">
        <f t="shared" si="72"/>
        <v>3274.7642100000016</v>
      </c>
      <c r="O31" s="252">
        <f>O32+O33</f>
        <v>3274.7642100000016</v>
      </c>
      <c r="P31" s="252"/>
      <c r="Q31" s="249">
        <f t="shared" si="73"/>
        <v>36559.638639999997</v>
      </c>
      <c r="R31" s="250">
        <f>R32+R33</f>
        <v>36559.638639999997</v>
      </c>
      <c r="S31" s="250">
        <f t="shared" ref="S31:T31" si="100">S32+S33</f>
        <v>0</v>
      </c>
      <c r="T31" s="252">
        <f t="shared" si="100"/>
        <v>231477.82107999997</v>
      </c>
      <c r="U31" s="253">
        <f t="shared" si="47"/>
        <v>6.3315128291979192</v>
      </c>
      <c r="V31" s="252">
        <f>V32+V33</f>
        <v>231477.82107999997</v>
      </c>
      <c r="W31" s="253">
        <f t="shared" si="48"/>
        <v>6.3315128291979192</v>
      </c>
      <c r="X31" s="252">
        <f>X32+X33</f>
        <v>0</v>
      </c>
      <c r="Y31" s="253">
        <v>0</v>
      </c>
      <c r="Z31" s="251">
        <f t="shared" si="74"/>
        <v>-198192.94664999997</v>
      </c>
      <c r="AA31" s="253">
        <f t="shared" si="51"/>
        <v>-5.421086039760703</v>
      </c>
      <c r="AB31" s="251">
        <f t="shared" ref="AB31:AB97" si="101">L31-V31</f>
        <v>-198192.94664999997</v>
      </c>
      <c r="AC31" s="254">
        <f t="shared" si="52"/>
        <v>-5.421086039760703</v>
      </c>
      <c r="AD31" s="252">
        <f>AD32+AD33</f>
        <v>0</v>
      </c>
      <c r="AE31" s="251">
        <f t="shared" si="75"/>
        <v>0</v>
      </c>
      <c r="AF31" s="252">
        <f>AF32+AF33</f>
        <v>0</v>
      </c>
      <c r="AG31" s="252">
        <f>AG32+AG33</f>
        <v>0</v>
      </c>
      <c r="AH31" s="251">
        <f t="shared" si="76"/>
        <v>149062.12576</v>
      </c>
      <c r="AI31" s="252">
        <f>AI32+AI33</f>
        <v>149062.12576</v>
      </c>
      <c r="AJ31" s="252">
        <f>AJ32+AJ33</f>
        <v>0</v>
      </c>
      <c r="AK31" s="252">
        <f>AK32+AK33</f>
        <v>15936.49699</v>
      </c>
      <c r="AL31" s="255">
        <f t="shared" si="87"/>
        <v>0.10691177862080692</v>
      </c>
      <c r="AM31" s="256">
        <f t="shared" si="93"/>
        <v>0.4359041167481299</v>
      </c>
      <c r="AN31" s="252">
        <f>AN32+AN33</f>
        <v>15936.49699</v>
      </c>
      <c r="AO31" s="257">
        <f t="shared" si="77"/>
        <v>0.10691177862080692</v>
      </c>
      <c r="AP31" s="256">
        <f t="shared" si="94"/>
        <v>0.4359041167481299</v>
      </c>
      <c r="AQ31" s="252">
        <v>0</v>
      </c>
      <c r="AR31" s="258" t="e">
        <f t="shared" si="57"/>
        <v>#DIV/0!</v>
      </c>
      <c r="AS31" s="258">
        <v>0</v>
      </c>
      <c r="AT31" s="252">
        <f>AV31</f>
        <v>31860.151600000001</v>
      </c>
      <c r="AU31" s="259">
        <f t="shared" si="95"/>
        <v>0.95719608818124657</v>
      </c>
      <c r="AV31" s="260">
        <f>AV32+AV33</f>
        <v>31860.151600000001</v>
      </c>
      <c r="AW31" s="261">
        <f t="shared" si="96"/>
        <v>0.95719608818124657</v>
      </c>
      <c r="AX31" s="260">
        <f>AX32+AX33</f>
        <v>0</v>
      </c>
      <c r="AY31" s="261">
        <v>0</v>
      </c>
      <c r="AZ31" s="260">
        <f t="shared" ref="AZ31" si="102">AZ32+AZ33</f>
        <v>1424.7228300000002</v>
      </c>
      <c r="BA31" s="262">
        <f t="shared" si="97"/>
        <v>4.2803911818753405E-2</v>
      </c>
      <c r="BB31" s="260">
        <f>BB32+BB33</f>
        <v>1424.7228300000002</v>
      </c>
      <c r="BC31" s="262">
        <f t="shared" si="98"/>
        <v>4.2803911818753405E-2</v>
      </c>
      <c r="BD31" s="260">
        <f>BD32+BD33</f>
        <v>0</v>
      </c>
      <c r="BE31" s="262">
        <v>0</v>
      </c>
      <c r="BF31" s="176">
        <f t="shared" si="78"/>
        <v>31860.151600000001</v>
      </c>
      <c r="BG31" s="262">
        <f t="shared" si="88"/>
        <v>1</v>
      </c>
      <c r="BH31" s="260">
        <f>BH32+BH33</f>
        <v>31860.151600000001</v>
      </c>
      <c r="BI31" s="262">
        <f t="shared" si="89"/>
        <v>1</v>
      </c>
      <c r="BJ31" s="260">
        <f>BJ32+BJ33</f>
        <v>0</v>
      </c>
      <c r="BK31" s="262">
        <v>0</v>
      </c>
      <c r="BL31" s="260">
        <f t="shared" si="79"/>
        <v>0</v>
      </c>
      <c r="BM31" s="262">
        <f t="shared" si="90"/>
        <v>0</v>
      </c>
      <c r="BN31" s="260">
        <f>BN32+BN33</f>
        <v>0</v>
      </c>
      <c r="BO31" s="262">
        <f t="shared" si="91"/>
        <v>0</v>
      </c>
      <c r="BP31" s="260">
        <f>BP32+BP33</f>
        <v>0</v>
      </c>
      <c r="BQ31" s="262">
        <v>0</v>
      </c>
      <c r="BR31" s="176">
        <f t="shared" si="80"/>
        <v>1424.7228300000024</v>
      </c>
      <c r="BS31" s="263">
        <f t="shared" si="99"/>
        <v>4.2803911818753475E-2</v>
      </c>
      <c r="BT31" s="260">
        <f>BT32+BT33</f>
        <v>1424.7228300000024</v>
      </c>
      <c r="BU31" s="263">
        <f>BT31/L31</f>
        <v>4.2803911818753475E-2</v>
      </c>
      <c r="BV31" s="260">
        <f>BV32+BV33</f>
        <v>0</v>
      </c>
      <c r="BW31" s="263">
        <v>0</v>
      </c>
      <c r="BX31" s="276" t="s">
        <v>88</v>
      </c>
      <c r="BY31" s="265">
        <v>0</v>
      </c>
      <c r="BZ31" s="176" t="e">
        <f t="shared" si="82"/>
        <v>#REF!</v>
      </c>
      <c r="CA31" s="265" t="e">
        <f t="shared" si="83"/>
        <v>#REF!</v>
      </c>
      <c r="CB31" s="277" t="e">
        <f>#REF!-#REF!</f>
        <v>#REF!</v>
      </c>
      <c r="CC31" s="265" t="e">
        <f t="shared" si="84"/>
        <v>#REF!</v>
      </c>
      <c r="CD31" s="260">
        <f>CD32+CD33</f>
        <v>0</v>
      </c>
      <c r="CE31" s="265" t="e">
        <f t="shared" si="68"/>
        <v>#DIV/0!</v>
      </c>
      <c r="CF31" s="266" t="s">
        <v>89</v>
      </c>
      <c r="CG31" s="266" t="s">
        <v>81</v>
      </c>
      <c r="CH31" s="176">
        <f t="shared" si="85"/>
        <v>0</v>
      </c>
      <c r="CI31" s="267"/>
      <c r="CJ31" s="176">
        <f t="shared" si="86"/>
        <v>0</v>
      </c>
      <c r="CK31" s="268"/>
    </row>
    <row r="32" spans="2:92" s="42" customFormat="1" ht="21" hidden="1" customHeight="1">
      <c r="B32" s="247"/>
      <c r="C32" s="270" t="s">
        <v>90</v>
      </c>
      <c r="D32" s="274"/>
      <c r="E32" s="249">
        <f t="shared" si="69"/>
        <v>726168.01617000008</v>
      </c>
      <c r="F32" s="250">
        <f>F34+F35+F36+F37</f>
        <v>726168.01617000008</v>
      </c>
      <c r="G32" s="250">
        <f>G34+G35+G36+G37</f>
        <v>0</v>
      </c>
      <c r="H32" s="249">
        <f t="shared" si="70"/>
        <v>-692883.14174000011</v>
      </c>
      <c r="I32" s="250">
        <f>I34+I35+I36+I37</f>
        <v>-692883.14174000011</v>
      </c>
      <c r="J32" s="250"/>
      <c r="K32" s="251">
        <f>K34+K35+K36+K37</f>
        <v>33284.874430000003</v>
      </c>
      <c r="L32" s="252">
        <f t="shared" ref="L32:AT32" si="103">L34+L35+L36+L37</f>
        <v>33284.874430000003</v>
      </c>
      <c r="M32" s="252">
        <f t="shared" si="103"/>
        <v>0</v>
      </c>
      <c r="N32" s="251">
        <f t="shared" si="103"/>
        <v>3274.7642100000016</v>
      </c>
      <c r="O32" s="252">
        <f t="shared" si="103"/>
        <v>3274.7642100000016</v>
      </c>
      <c r="P32" s="252">
        <f t="shared" si="103"/>
        <v>0</v>
      </c>
      <c r="Q32" s="249">
        <f t="shared" si="103"/>
        <v>36559.638639999997</v>
      </c>
      <c r="R32" s="249">
        <f t="shared" si="103"/>
        <v>36559.638639999997</v>
      </c>
      <c r="S32" s="249">
        <f t="shared" si="103"/>
        <v>0</v>
      </c>
      <c r="T32" s="251">
        <f t="shared" si="103"/>
        <v>231477.82107999997</v>
      </c>
      <c r="U32" s="253" t="e">
        <f t="shared" si="103"/>
        <v>#DIV/0!</v>
      </c>
      <c r="V32" s="252">
        <f t="shared" si="103"/>
        <v>231477.82107999997</v>
      </c>
      <c r="W32" s="253" t="e">
        <f t="shared" si="103"/>
        <v>#DIV/0!</v>
      </c>
      <c r="X32" s="252">
        <f t="shared" si="103"/>
        <v>0</v>
      </c>
      <c r="Y32" s="253" t="e">
        <f t="shared" si="103"/>
        <v>#DIV/0!</v>
      </c>
      <c r="Z32" s="251">
        <f t="shared" si="103"/>
        <v>-194918.18243999998</v>
      </c>
      <c r="AA32" s="253" t="e">
        <f t="shared" si="103"/>
        <v>#DIV/0!</v>
      </c>
      <c r="AB32" s="251">
        <f t="shared" si="103"/>
        <v>-194918.18243999998</v>
      </c>
      <c r="AC32" s="253" t="e">
        <f t="shared" si="103"/>
        <v>#DIV/0!</v>
      </c>
      <c r="AD32" s="252">
        <f t="shared" si="103"/>
        <v>0</v>
      </c>
      <c r="AE32" s="251">
        <f t="shared" si="103"/>
        <v>0</v>
      </c>
      <c r="AF32" s="252">
        <f t="shared" si="103"/>
        <v>0</v>
      </c>
      <c r="AG32" s="252">
        <f t="shared" si="103"/>
        <v>0</v>
      </c>
      <c r="AH32" s="251">
        <f t="shared" si="103"/>
        <v>114365.20350999999</v>
      </c>
      <c r="AI32" s="252">
        <f t="shared" si="103"/>
        <v>114365.20350999999</v>
      </c>
      <c r="AJ32" s="252">
        <f t="shared" si="103"/>
        <v>0</v>
      </c>
      <c r="AK32" s="252">
        <f t="shared" si="103"/>
        <v>12038.45911</v>
      </c>
      <c r="AL32" s="255">
        <f t="shared" si="103"/>
        <v>0.42958789621890336</v>
      </c>
      <c r="AM32" s="256">
        <f t="shared" si="103"/>
        <v>0.49293500789857336</v>
      </c>
      <c r="AN32" s="252">
        <f t="shared" si="103"/>
        <v>12038.45911</v>
      </c>
      <c r="AO32" s="257">
        <f t="shared" si="103"/>
        <v>0.42958789621890336</v>
      </c>
      <c r="AP32" s="256">
        <f t="shared" si="103"/>
        <v>0.49293500789857336</v>
      </c>
      <c r="AQ32" s="252">
        <f t="shared" si="103"/>
        <v>0</v>
      </c>
      <c r="AR32" s="257" t="e">
        <f t="shared" si="103"/>
        <v>#DIV/0!</v>
      </c>
      <c r="AS32" s="257">
        <f t="shared" si="103"/>
        <v>0</v>
      </c>
      <c r="AT32" s="252">
        <f t="shared" si="103"/>
        <v>31860.151600000001</v>
      </c>
      <c r="AU32" s="259">
        <f t="shared" si="95"/>
        <v>0.95719608818124657</v>
      </c>
      <c r="AV32" s="260">
        <f>BH32</f>
        <v>31860.151600000001</v>
      </c>
      <c r="AW32" s="261">
        <f t="shared" si="96"/>
        <v>0.95719608818124657</v>
      </c>
      <c r="AX32" s="260">
        <f>AX34+AX35+AX36+AX37</f>
        <v>0</v>
      </c>
      <c r="AY32" s="261">
        <v>0</v>
      </c>
      <c r="AZ32" s="260">
        <f>AZ34+AZ35+AZ36+AZ37</f>
        <v>1424.7228300000002</v>
      </c>
      <c r="BA32" s="262">
        <f t="shared" si="97"/>
        <v>4.2803911818753405E-2</v>
      </c>
      <c r="BB32" s="260">
        <f>BB34+BB35+BB36+BB37</f>
        <v>1424.7228300000002</v>
      </c>
      <c r="BC32" s="262">
        <f t="shared" si="98"/>
        <v>4.2803911818753405E-2</v>
      </c>
      <c r="BD32" s="260">
        <f>BD34+BD35+BD36+BD37</f>
        <v>0</v>
      </c>
      <c r="BE32" s="262">
        <v>0</v>
      </c>
      <c r="BF32" s="176">
        <f t="shared" si="78"/>
        <v>31860.151600000001</v>
      </c>
      <c r="BG32" s="262">
        <f t="shared" si="88"/>
        <v>1</v>
      </c>
      <c r="BH32" s="260">
        <f>BH34+BH35+BH36+BH37</f>
        <v>31860.151600000001</v>
      </c>
      <c r="BI32" s="262">
        <f t="shared" si="89"/>
        <v>1</v>
      </c>
      <c r="BJ32" s="260">
        <f>BJ34+BJ35+BJ36+BJ37</f>
        <v>0</v>
      </c>
      <c r="BK32" s="262">
        <v>0</v>
      </c>
      <c r="BL32" s="260">
        <f t="shared" si="79"/>
        <v>0</v>
      </c>
      <c r="BM32" s="262">
        <f t="shared" si="90"/>
        <v>0</v>
      </c>
      <c r="BN32" s="260">
        <f>AV32-BH32</f>
        <v>0</v>
      </c>
      <c r="BO32" s="262">
        <f t="shared" si="91"/>
        <v>0</v>
      </c>
      <c r="BP32" s="260">
        <f>BP34+BP35+BP36+BP37</f>
        <v>0</v>
      </c>
      <c r="BQ32" s="262">
        <v>0</v>
      </c>
      <c r="BR32" s="176">
        <f t="shared" si="80"/>
        <v>1424.7228300000024</v>
      </c>
      <c r="BS32" s="263">
        <f t="shared" si="99"/>
        <v>4.2803911818753475E-2</v>
      </c>
      <c r="BT32" s="176">
        <f t="shared" ref="BT32:BT37" si="104">L32-BH32</f>
        <v>1424.7228300000024</v>
      </c>
      <c r="BU32" s="263">
        <f t="shared" ref="BU32:BU82" si="105">BT32/L32</f>
        <v>4.2803911818753475E-2</v>
      </c>
      <c r="BV32" s="260">
        <f>BV34+BV35+BV36+BV37</f>
        <v>0</v>
      </c>
      <c r="BW32" s="263">
        <v>0</v>
      </c>
      <c r="BX32" s="276"/>
      <c r="BY32" s="271" t="e">
        <f t="shared" ref="BY32:BY37" si="106">AD32/S32</f>
        <v>#DIV/0!</v>
      </c>
      <c r="BZ32" s="176" t="e">
        <f t="shared" si="82"/>
        <v>#REF!</v>
      </c>
      <c r="CA32" s="271" t="e">
        <f t="shared" si="83"/>
        <v>#REF!</v>
      </c>
      <c r="CB32" s="176" t="e">
        <f>#REF!-#REF!</f>
        <v>#REF!</v>
      </c>
      <c r="CC32" s="271" t="e">
        <f t="shared" si="84"/>
        <v>#REF!</v>
      </c>
      <c r="CD32" s="260">
        <f>CD34+CD35+CD36+CD37</f>
        <v>0</v>
      </c>
      <c r="CE32" s="271" t="e">
        <f t="shared" si="68"/>
        <v>#DIV/0!</v>
      </c>
      <c r="CF32" s="266">
        <f t="shared" si="92"/>
        <v>0</v>
      </c>
      <c r="CG32" s="272"/>
      <c r="CH32" s="176">
        <f t="shared" si="85"/>
        <v>0</v>
      </c>
      <c r="CI32" s="272"/>
      <c r="CJ32" s="176">
        <f t="shared" si="86"/>
        <v>0</v>
      </c>
      <c r="CK32" s="273"/>
    </row>
    <row r="33" spans="2:89" s="294" customFormat="1" ht="19.5" hidden="1" customHeight="1">
      <c r="B33" s="278"/>
      <c r="C33" s="279" t="s">
        <v>91</v>
      </c>
      <c r="D33" s="280"/>
      <c r="E33" s="280">
        <f t="shared" si="69"/>
        <v>121000</v>
      </c>
      <c r="F33" s="281">
        <v>121000</v>
      </c>
      <c r="G33" s="281"/>
      <c r="H33" s="280">
        <f t="shared" si="70"/>
        <v>-121000</v>
      </c>
      <c r="I33" s="280">
        <f>L33-F33</f>
        <v>-121000</v>
      </c>
      <c r="J33" s="280"/>
      <c r="K33" s="282">
        <f t="shared" si="71"/>
        <v>0</v>
      </c>
      <c r="L33" s="283">
        <v>0</v>
      </c>
      <c r="M33" s="283">
        <v>0</v>
      </c>
      <c r="N33" s="282">
        <f t="shared" si="72"/>
        <v>0</v>
      </c>
      <c r="O33" s="282">
        <f t="shared" ref="O33:O36" si="107">R33-L33</f>
        <v>0</v>
      </c>
      <c r="P33" s="282"/>
      <c r="Q33" s="280">
        <f t="shared" si="73"/>
        <v>0</v>
      </c>
      <c r="R33" s="280">
        <v>0</v>
      </c>
      <c r="S33" s="281"/>
      <c r="T33" s="283"/>
      <c r="U33" s="284" t="e">
        <f t="shared" si="47"/>
        <v>#DIV/0!</v>
      </c>
      <c r="V33" s="283"/>
      <c r="W33" s="284" t="e">
        <f t="shared" si="48"/>
        <v>#DIV/0!</v>
      </c>
      <c r="X33" s="283"/>
      <c r="Y33" s="284" t="e">
        <f t="shared" si="49"/>
        <v>#DIV/0!</v>
      </c>
      <c r="Z33" s="282">
        <f t="shared" si="74"/>
        <v>0</v>
      </c>
      <c r="AA33" s="284" t="e">
        <f t="shared" si="51"/>
        <v>#DIV/0!</v>
      </c>
      <c r="AB33" s="282">
        <f t="shared" si="101"/>
        <v>0</v>
      </c>
      <c r="AC33" s="284" t="e">
        <f t="shared" si="52"/>
        <v>#DIV/0!</v>
      </c>
      <c r="AD33" s="283"/>
      <c r="AE33" s="282">
        <f t="shared" si="75"/>
        <v>0</v>
      </c>
      <c r="AF33" s="283"/>
      <c r="AG33" s="283"/>
      <c r="AH33" s="282">
        <f t="shared" si="76"/>
        <v>34696.922250000003</v>
      </c>
      <c r="AI33" s="283">
        <v>34696.922250000003</v>
      </c>
      <c r="AJ33" s="283"/>
      <c r="AK33" s="282">
        <f>AN33+AQ33</f>
        <v>3898.0378799999999</v>
      </c>
      <c r="AL33" s="285">
        <f t="shared" si="87"/>
        <v>0.11234535017007162</v>
      </c>
      <c r="AM33" s="286">
        <v>0</v>
      </c>
      <c r="AN33" s="283">
        <v>3898.0378799999999</v>
      </c>
      <c r="AO33" s="284">
        <f t="shared" si="77"/>
        <v>0.11234535017007162</v>
      </c>
      <c r="AP33" s="286">
        <v>0</v>
      </c>
      <c r="AQ33" s="283">
        <v>0</v>
      </c>
      <c r="AR33" s="284" t="e">
        <f t="shared" si="57"/>
        <v>#DIV/0!</v>
      </c>
      <c r="AS33" s="287">
        <v>0</v>
      </c>
      <c r="AT33" s="282">
        <f>AV33+AX33</f>
        <v>0</v>
      </c>
      <c r="AU33" s="259" t="e">
        <f t="shared" si="95"/>
        <v>#DIV/0!</v>
      </c>
      <c r="AV33" s="260">
        <f t="shared" ref="AV33:AV37" si="108">BH33</f>
        <v>0</v>
      </c>
      <c r="AW33" s="261" t="e">
        <f t="shared" si="96"/>
        <v>#DIV/0!</v>
      </c>
      <c r="AX33" s="288">
        <v>0</v>
      </c>
      <c r="AY33" s="289">
        <v>0</v>
      </c>
      <c r="AZ33" s="152">
        <f t="shared" ref="AZ33:AZ37" si="109">BB33+BD33</f>
        <v>0</v>
      </c>
      <c r="BA33" s="262" t="e">
        <f t="shared" si="97"/>
        <v>#DIV/0!</v>
      </c>
      <c r="BB33" s="176">
        <f>R33-AV33</f>
        <v>0</v>
      </c>
      <c r="BC33" s="262" t="e">
        <f t="shared" si="98"/>
        <v>#DIV/0!</v>
      </c>
      <c r="BD33" s="152">
        <f>G33-AX33</f>
        <v>0</v>
      </c>
      <c r="BE33" s="165">
        <v>0</v>
      </c>
      <c r="BF33" s="152">
        <f t="shared" si="78"/>
        <v>0</v>
      </c>
      <c r="BG33" s="262" t="e">
        <f t="shared" si="88"/>
        <v>#DIV/0!</v>
      </c>
      <c r="BH33" s="288">
        <v>0</v>
      </c>
      <c r="BI33" s="262" t="e">
        <f t="shared" si="89"/>
        <v>#DIV/0!</v>
      </c>
      <c r="BJ33" s="288">
        <v>0</v>
      </c>
      <c r="BK33" s="262">
        <v>0</v>
      </c>
      <c r="BL33" s="260">
        <f t="shared" si="79"/>
        <v>0</v>
      </c>
      <c r="BM33" s="262" t="e">
        <f t="shared" si="90"/>
        <v>#DIV/0!</v>
      </c>
      <c r="BN33" s="260">
        <f t="shared" ref="BN33:BN81" si="110">AV33-BH33</f>
        <v>0</v>
      </c>
      <c r="BO33" s="262" t="e">
        <f t="shared" si="91"/>
        <v>#DIV/0!</v>
      </c>
      <c r="BP33" s="288">
        <v>0</v>
      </c>
      <c r="BQ33" s="262">
        <v>0</v>
      </c>
      <c r="BR33" s="152">
        <f t="shared" si="80"/>
        <v>0</v>
      </c>
      <c r="BS33" s="263">
        <v>0</v>
      </c>
      <c r="BT33" s="176">
        <f t="shared" si="104"/>
        <v>0</v>
      </c>
      <c r="BU33" s="263">
        <v>0</v>
      </c>
      <c r="BV33" s="288">
        <v>0</v>
      </c>
      <c r="BW33" s="263">
        <v>0</v>
      </c>
      <c r="BX33" s="276"/>
      <c r="BY33" s="290" t="e">
        <f t="shared" si="106"/>
        <v>#DIV/0!</v>
      </c>
      <c r="BZ33" s="152" t="e">
        <f t="shared" si="82"/>
        <v>#REF!</v>
      </c>
      <c r="CA33" s="290" t="e">
        <f t="shared" si="83"/>
        <v>#REF!</v>
      </c>
      <c r="CB33" s="152" t="e">
        <f>#REF!-#REF!</f>
        <v>#REF!</v>
      </c>
      <c r="CC33" s="290" t="e">
        <f t="shared" si="84"/>
        <v>#REF!</v>
      </c>
      <c r="CD33" s="288"/>
      <c r="CE33" s="290" t="e">
        <f t="shared" si="68"/>
        <v>#DIV/0!</v>
      </c>
      <c r="CF33" s="291">
        <f t="shared" si="92"/>
        <v>0</v>
      </c>
      <c r="CG33" s="292"/>
      <c r="CH33" s="152">
        <f t="shared" si="85"/>
        <v>0</v>
      </c>
      <c r="CI33" s="292"/>
      <c r="CJ33" s="152">
        <f t="shared" si="86"/>
        <v>0</v>
      </c>
      <c r="CK33" s="293"/>
    </row>
    <row r="34" spans="2:89" s="42" customFormat="1" ht="19.5" hidden="1" customHeight="1">
      <c r="B34" s="247"/>
      <c r="C34" s="270" t="s">
        <v>82</v>
      </c>
      <c r="D34" s="274"/>
      <c r="E34" s="249">
        <f t="shared" si="69"/>
        <v>620686.50505000004</v>
      </c>
      <c r="F34" s="249">
        <v>620686.50505000004</v>
      </c>
      <c r="G34" s="249"/>
      <c r="H34" s="249">
        <f t="shared" si="70"/>
        <v>-596764.79691999999</v>
      </c>
      <c r="I34" s="249">
        <f>L34-F34</f>
        <v>-596764.79691999999</v>
      </c>
      <c r="J34" s="249"/>
      <c r="K34" s="251">
        <f t="shared" si="71"/>
        <v>23921.708129999999</v>
      </c>
      <c r="L34" s="251">
        <v>23921.708129999999</v>
      </c>
      <c r="M34" s="251">
        <v>0</v>
      </c>
      <c r="N34" s="251">
        <f t="shared" si="72"/>
        <v>6249.3003100000024</v>
      </c>
      <c r="O34" s="251">
        <f t="shared" si="107"/>
        <v>6249.3003100000024</v>
      </c>
      <c r="P34" s="251"/>
      <c r="Q34" s="249">
        <f t="shared" si="73"/>
        <v>30171.008440000001</v>
      </c>
      <c r="R34" s="249">
        <v>30171.008440000001</v>
      </c>
      <c r="S34" s="249"/>
      <c r="T34" s="251">
        <f>V34</f>
        <v>195575.44480999999</v>
      </c>
      <c r="U34" s="253">
        <f t="shared" si="47"/>
        <v>6.482230953563711</v>
      </c>
      <c r="V34" s="251">
        <v>195575.44480999999</v>
      </c>
      <c r="W34" s="253">
        <f t="shared" si="48"/>
        <v>6.482230953563711</v>
      </c>
      <c r="X34" s="251"/>
      <c r="Y34" s="253" t="e">
        <f t="shared" si="49"/>
        <v>#DIV/0!</v>
      </c>
      <c r="Z34" s="251">
        <f>AB34</f>
        <v>-165404.43636999998</v>
      </c>
      <c r="AA34" s="253">
        <f t="shared" si="51"/>
        <v>-5.482230953563711</v>
      </c>
      <c r="AB34" s="251">
        <f t="shared" ref="AB34:AB36" si="111">R34-V34</f>
        <v>-165404.43636999998</v>
      </c>
      <c r="AC34" s="253">
        <f t="shared" si="52"/>
        <v>-5.482230953563711</v>
      </c>
      <c r="AD34" s="251"/>
      <c r="AE34" s="251">
        <f t="shared" si="75"/>
        <v>0</v>
      </c>
      <c r="AF34" s="251"/>
      <c r="AG34" s="251"/>
      <c r="AH34" s="251">
        <f t="shared" si="76"/>
        <v>104090.76675</v>
      </c>
      <c r="AI34" s="251">
        <v>104090.76675</v>
      </c>
      <c r="AJ34" s="251"/>
      <c r="AK34" s="251">
        <f>AN34+AQ34</f>
        <v>11694.113649999999</v>
      </c>
      <c r="AL34" s="255">
        <f t="shared" si="87"/>
        <v>0.11234535026614163</v>
      </c>
      <c r="AM34" s="256">
        <f t="shared" si="93"/>
        <v>0.38759439125992962</v>
      </c>
      <c r="AN34" s="251">
        <v>11694.113649999999</v>
      </c>
      <c r="AO34" s="257">
        <f t="shared" si="77"/>
        <v>0.11234535026614163</v>
      </c>
      <c r="AP34" s="256">
        <f t="shared" si="94"/>
        <v>0.38759439125992962</v>
      </c>
      <c r="AQ34" s="252">
        <v>0</v>
      </c>
      <c r="AR34" s="257" t="e">
        <f t="shared" si="57"/>
        <v>#DIV/0!</v>
      </c>
      <c r="AS34" s="257">
        <v>0</v>
      </c>
      <c r="AT34" s="251">
        <f>AV34+AX34</f>
        <v>23831.89935</v>
      </c>
      <c r="AU34" s="259">
        <f t="shared" si="95"/>
        <v>0.9962457204346804</v>
      </c>
      <c r="AV34" s="260">
        <f t="shared" si="108"/>
        <v>23831.89935</v>
      </c>
      <c r="AW34" s="261">
        <f t="shared" si="96"/>
        <v>0.9962457204346804</v>
      </c>
      <c r="AX34" s="176">
        <v>0</v>
      </c>
      <c r="AY34" s="261">
        <v>0</v>
      </c>
      <c r="AZ34" s="176">
        <f t="shared" si="109"/>
        <v>89.808779999999388</v>
      </c>
      <c r="BA34" s="262">
        <f t="shared" si="97"/>
        <v>3.7542795653196272E-3</v>
      </c>
      <c r="BB34" s="176">
        <f>L34-AV34</f>
        <v>89.808779999999388</v>
      </c>
      <c r="BC34" s="262">
        <f t="shared" si="98"/>
        <v>3.7542795653196272E-3</v>
      </c>
      <c r="BD34" s="176">
        <f>G34-AX34</f>
        <v>0</v>
      </c>
      <c r="BE34" s="262">
        <v>0</v>
      </c>
      <c r="BF34" s="176">
        <f t="shared" si="78"/>
        <v>23831.89935</v>
      </c>
      <c r="BG34" s="262">
        <f t="shared" si="88"/>
        <v>1</v>
      </c>
      <c r="BH34" s="176">
        <v>23831.89935</v>
      </c>
      <c r="BI34" s="262">
        <f t="shared" si="89"/>
        <v>1</v>
      </c>
      <c r="BJ34" s="176">
        <v>0</v>
      </c>
      <c r="BK34" s="262">
        <v>0</v>
      </c>
      <c r="BL34" s="260">
        <f t="shared" si="79"/>
        <v>0</v>
      </c>
      <c r="BM34" s="262">
        <f t="shared" si="90"/>
        <v>0</v>
      </c>
      <c r="BN34" s="260">
        <f t="shared" si="110"/>
        <v>0</v>
      </c>
      <c r="BO34" s="262">
        <f t="shared" si="91"/>
        <v>0</v>
      </c>
      <c r="BP34" s="176">
        <v>0</v>
      </c>
      <c r="BQ34" s="262">
        <v>0</v>
      </c>
      <c r="BR34" s="176">
        <f t="shared" si="80"/>
        <v>89.808779999999388</v>
      </c>
      <c r="BS34" s="263">
        <f t="shared" si="99"/>
        <v>3.7542795653196272E-3</v>
      </c>
      <c r="BT34" s="176">
        <f t="shared" si="104"/>
        <v>89.808779999999388</v>
      </c>
      <c r="BU34" s="263">
        <f t="shared" si="105"/>
        <v>3.7542795653196272E-3</v>
      </c>
      <c r="BV34" s="176">
        <v>0</v>
      </c>
      <c r="BW34" s="263">
        <v>0</v>
      </c>
      <c r="BX34" s="276"/>
      <c r="BY34" s="271" t="e">
        <f t="shared" si="106"/>
        <v>#DIV/0!</v>
      </c>
      <c r="BZ34" s="176" t="e">
        <f>BT34-#REF!</f>
        <v>#REF!</v>
      </c>
      <c r="CA34" s="271" t="e">
        <f t="shared" si="83"/>
        <v>#REF!</v>
      </c>
      <c r="CB34" s="176" t="e">
        <f>#REF!-#REF!</f>
        <v>#REF!</v>
      </c>
      <c r="CC34" s="271" t="e">
        <f t="shared" si="84"/>
        <v>#REF!</v>
      </c>
      <c r="CD34" s="176"/>
      <c r="CE34" s="271" t="e">
        <f t="shared" si="68"/>
        <v>#DIV/0!</v>
      </c>
      <c r="CF34" s="266">
        <f t="shared" si="92"/>
        <v>0</v>
      </c>
      <c r="CG34" s="272"/>
      <c r="CH34" s="176">
        <f t="shared" si="85"/>
        <v>0</v>
      </c>
      <c r="CI34" s="272"/>
      <c r="CJ34" s="176">
        <f t="shared" si="86"/>
        <v>0</v>
      </c>
      <c r="CK34" s="273"/>
    </row>
    <row r="35" spans="2:89" s="42" customFormat="1" ht="20.25" hidden="1" customHeight="1">
      <c r="B35" s="247"/>
      <c r="C35" s="270" t="s">
        <v>83</v>
      </c>
      <c r="D35" s="274"/>
      <c r="E35" s="249">
        <f t="shared" si="69"/>
        <v>18552.80212</v>
      </c>
      <c r="F35" s="249">
        <f>105481.51112-F36-F37</f>
        <v>18552.80212</v>
      </c>
      <c r="G35" s="249"/>
      <c r="H35" s="249">
        <f t="shared" si="70"/>
        <v>-10247.84282</v>
      </c>
      <c r="I35" s="249">
        <f>L35-F35</f>
        <v>-10247.84282</v>
      </c>
      <c r="J35" s="249"/>
      <c r="K35" s="251">
        <f t="shared" si="71"/>
        <v>8304.9593000000004</v>
      </c>
      <c r="L35" s="251">
        <f>9363.1663-L37</f>
        <v>8304.9593000000004</v>
      </c>
      <c r="M35" s="251">
        <v>0</v>
      </c>
      <c r="N35" s="251">
        <f t="shared" si="72"/>
        <v>-2898.7471000000005</v>
      </c>
      <c r="O35" s="251">
        <f t="shared" si="107"/>
        <v>-2898.7471000000005</v>
      </c>
      <c r="P35" s="251"/>
      <c r="Q35" s="249">
        <f t="shared" si="73"/>
        <v>5406.2121999999999</v>
      </c>
      <c r="R35" s="249">
        <v>5406.2121999999999</v>
      </c>
      <c r="S35" s="249"/>
      <c r="T35" s="251">
        <f t="shared" ref="T35:T37" si="112">V35</f>
        <v>4824.4477900000002</v>
      </c>
      <c r="U35" s="253">
        <f t="shared" si="47"/>
        <v>0.89238964574864454</v>
      </c>
      <c r="V35" s="251">
        <v>4824.4477900000002</v>
      </c>
      <c r="W35" s="253">
        <f t="shared" si="48"/>
        <v>0.89238964574864454</v>
      </c>
      <c r="X35" s="251"/>
      <c r="Y35" s="253" t="e">
        <f t="shared" si="49"/>
        <v>#DIV/0!</v>
      </c>
      <c r="Z35" s="251">
        <f t="shared" si="74"/>
        <v>581.76440999999977</v>
      </c>
      <c r="AA35" s="253">
        <f t="shared" si="51"/>
        <v>0.10761035425135547</v>
      </c>
      <c r="AB35" s="251">
        <f t="shared" si="111"/>
        <v>581.76440999999977</v>
      </c>
      <c r="AC35" s="253">
        <f t="shared" si="52"/>
        <v>0.10761035425135547</v>
      </c>
      <c r="AD35" s="251"/>
      <c r="AE35" s="251">
        <f t="shared" si="75"/>
        <v>0</v>
      </c>
      <c r="AF35" s="251"/>
      <c r="AG35" s="251"/>
      <c r="AH35" s="251">
        <f t="shared" si="76"/>
        <v>947.10376000000088</v>
      </c>
      <c r="AI35" s="251">
        <f>10274.43676-AI36-AI37</f>
        <v>947.10376000000088</v>
      </c>
      <c r="AJ35" s="251"/>
      <c r="AK35" s="251">
        <f>AN35+AQ35</f>
        <v>294.34546</v>
      </c>
      <c r="AL35" s="255">
        <f t="shared" si="87"/>
        <v>0.3107848077807227</v>
      </c>
      <c r="AM35" s="256">
        <f t="shared" si="93"/>
        <v>5.4445783685664433E-2</v>
      </c>
      <c r="AN35" s="251">
        <f>344.34546-AN37</f>
        <v>294.34546</v>
      </c>
      <c r="AO35" s="257">
        <f t="shared" si="77"/>
        <v>0.3107848077807227</v>
      </c>
      <c r="AP35" s="256">
        <f t="shared" si="94"/>
        <v>5.4445783685664433E-2</v>
      </c>
      <c r="AQ35" s="252">
        <v>0</v>
      </c>
      <c r="AR35" s="257" t="e">
        <f t="shared" si="57"/>
        <v>#DIV/0!</v>
      </c>
      <c r="AS35" s="257">
        <v>0</v>
      </c>
      <c r="AT35" s="251">
        <f>AV35+AX35</f>
        <v>7902.4632499999998</v>
      </c>
      <c r="AU35" s="259">
        <f t="shared" si="95"/>
        <v>0.95153545785588611</v>
      </c>
      <c r="AV35" s="260">
        <f t="shared" si="108"/>
        <v>7902.4632499999998</v>
      </c>
      <c r="AW35" s="261">
        <f t="shared" si="96"/>
        <v>0.95153545785588611</v>
      </c>
      <c r="AX35" s="176">
        <v>0</v>
      </c>
      <c r="AY35" s="261">
        <v>0</v>
      </c>
      <c r="AZ35" s="176">
        <f t="shared" si="109"/>
        <v>402.49605000000065</v>
      </c>
      <c r="BA35" s="262">
        <f t="shared" si="97"/>
        <v>4.8464542144113894E-2</v>
      </c>
      <c r="BB35" s="176">
        <f>L35-AV35</f>
        <v>402.49605000000065</v>
      </c>
      <c r="BC35" s="262">
        <f t="shared" si="98"/>
        <v>4.8464542144113894E-2</v>
      </c>
      <c r="BD35" s="176">
        <f>G35-AX35</f>
        <v>0</v>
      </c>
      <c r="BE35" s="262">
        <v>0</v>
      </c>
      <c r="BF35" s="176">
        <f>8028.25225-BF37</f>
        <v>7902.4632499999998</v>
      </c>
      <c r="BG35" s="262">
        <f t="shared" si="88"/>
        <v>1</v>
      </c>
      <c r="BH35" s="176">
        <f>8028.25225-BH37</f>
        <v>7902.4632499999998</v>
      </c>
      <c r="BI35" s="262">
        <f t="shared" si="89"/>
        <v>1</v>
      </c>
      <c r="BJ35" s="176">
        <v>0</v>
      </c>
      <c r="BK35" s="262">
        <v>0</v>
      </c>
      <c r="BL35" s="260">
        <f t="shared" si="79"/>
        <v>0</v>
      </c>
      <c r="BM35" s="262">
        <f t="shared" si="90"/>
        <v>0</v>
      </c>
      <c r="BN35" s="260">
        <f t="shared" si="110"/>
        <v>0</v>
      </c>
      <c r="BO35" s="262">
        <f t="shared" si="91"/>
        <v>0</v>
      </c>
      <c r="BP35" s="176">
        <v>0</v>
      </c>
      <c r="BQ35" s="262">
        <v>0</v>
      </c>
      <c r="BR35" s="176">
        <f t="shared" si="80"/>
        <v>402.49605000000065</v>
      </c>
      <c r="BS35" s="263">
        <f t="shared" si="99"/>
        <v>4.8464542144113894E-2</v>
      </c>
      <c r="BT35" s="176">
        <f t="shared" si="104"/>
        <v>402.49605000000065</v>
      </c>
      <c r="BU35" s="263">
        <f t="shared" si="105"/>
        <v>4.8464542144113894E-2</v>
      </c>
      <c r="BV35" s="176">
        <v>0</v>
      </c>
      <c r="BW35" s="263">
        <v>0</v>
      </c>
      <c r="BX35" s="276"/>
      <c r="BY35" s="271" t="e">
        <f t="shared" si="106"/>
        <v>#DIV/0!</v>
      </c>
      <c r="BZ35" s="176" t="e">
        <f t="shared" si="82"/>
        <v>#REF!</v>
      </c>
      <c r="CA35" s="271" t="e">
        <f t="shared" si="83"/>
        <v>#REF!</v>
      </c>
      <c r="CB35" s="176" t="e">
        <f>#REF!-#REF!</f>
        <v>#REF!</v>
      </c>
      <c r="CC35" s="271" t="e">
        <f t="shared" si="84"/>
        <v>#REF!</v>
      </c>
      <c r="CD35" s="176"/>
      <c r="CE35" s="271" t="e">
        <f t="shared" si="68"/>
        <v>#DIV/0!</v>
      </c>
      <c r="CF35" s="266">
        <f t="shared" si="92"/>
        <v>0</v>
      </c>
      <c r="CG35" s="272"/>
      <c r="CH35" s="176">
        <f t="shared" si="85"/>
        <v>0</v>
      </c>
      <c r="CI35" s="272"/>
      <c r="CJ35" s="176">
        <f t="shared" si="86"/>
        <v>0</v>
      </c>
      <c r="CK35" s="273"/>
    </row>
    <row r="36" spans="2:89" s="42" customFormat="1" ht="27" hidden="1" customHeight="1">
      <c r="B36" s="247"/>
      <c r="C36" s="295" t="s">
        <v>92</v>
      </c>
      <c r="D36" s="274"/>
      <c r="E36" s="249">
        <f t="shared" si="69"/>
        <v>32431.316999999999</v>
      </c>
      <c r="F36" s="249">
        <v>32431.316999999999</v>
      </c>
      <c r="G36" s="249"/>
      <c r="H36" s="249">
        <f t="shared" si="70"/>
        <v>-32431.316999999999</v>
      </c>
      <c r="I36" s="249">
        <f>L36-F36</f>
        <v>-32431.316999999999</v>
      </c>
      <c r="J36" s="249"/>
      <c r="K36" s="251">
        <f t="shared" si="71"/>
        <v>0</v>
      </c>
      <c r="L36" s="251">
        <v>0</v>
      </c>
      <c r="M36" s="251">
        <v>0</v>
      </c>
      <c r="N36" s="251">
        <f t="shared" si="72"/>
        <v>0</v>
      </c>
      <c r="O36" s="251">
        <f t="shared" si="107"/>
        <v>0</v>
      </c>
      <c r="P36" s="251"/>
      <c r="Q36" s="249">
        <f t="shared" si="73"/>
        <v>0</v>
      </c>
      <c r="R36" s="249">
        <v>0</v>
      </c>
      <c r="S36" s="249"/>
      <c r="T36" s="251">
        <f t="shared" si="112"/>
        <v>6091.5609999999997</v>
      </c>
      <c r="U36" s="253" t="e">
        <f t="shared" si="47"/>
        <v>#DIV/0!</v>
      </c>
      <c r="V36" s="251">
        <v>6091.5609999999997</v>
      </c>
      <c r="W36" s="253" t="e">
        <f t="shared" si="48"/>
        <v>#DIV/0!</v>
      </c>
      <c r="X36" s="251"/>
      <c r="Y36" s="253" t="e">
        <f t="shared" si="49"/>
        <v>#DIV/0!</v>
      </c>
      <c r="Z36" s="251">
        <f t="shared" si="74"/>
        <v>-6091.5609999999997</v>
      </c>
      <c r="AA36" s="253" t="e">
        <f t="shared" si="51"/>
        <v>#DIV/0!</v>
      </c>
      <c r="AB36" s="251">
        <f t="shared" si="111"/>
        <v>-6091.5609999999997</v>
      </c>
      <c r="AC36" s="253" t="e">
        <f t="shared" si="52"/>
        <v>#DIV/0!</v>
      </c>
      <c r="AD36" s="251"/>
      <c r="AE36" s="251">
        <f t="shared" si="75"/>
        <v>0</v>
      </c>
      <c r="AF36" s="251"/>
      <c r="AG36" s="251"/>
      <c r="AH36" s="251">
        <f t="shared" si="76"/>
        <v>1584.684</v>
      </c>
      <c r="AI36" s="251">
        <v>1584.684</v>
      </c>
      <c r="AJ36" s="251"/>
      <c r="AK36" s="251">
        <f>AN36+AQ36</f>
        <v>0</v>
      </c>
      <c r="AL36" s="255">
        <f t="shared" si="87"/>
        <v>0</v>
      </c>
      <c r="AM36" s="256">
        <v>0</v>
      </c>
      <c r="AN36" s="251">
        <v>0</v>
      </c>
      <c r="AO36" s="257">
        <f t="shared" si="77"/>
        <v>0</v>
      </c>
      <c r="AP36" s="256">
        <v>0</v>
      </c>
      <c r="AQ36" s="252">
        <v>0</v>
      </c>
      <c r="AR36" s="257" t="e">
        <f t="shared" si="57"/>
        <v>#DIV/0!</v>
      </c>
      <c r="AS36" s="257">
        <v>0</v>
      </c>
      <c r="AT36" s="251">
        <f>AV36+AX36</f>
        <v>0</v>
      </c>
      <c r="AU36" s="259" t="e">
        <f t="shared" si="95"/>
        <v>#DIV/0!</v>
      </c>
      <c r="AV36" s="260">
        <f t="shared" si="108"/>
        <v>0</v>
      </c>
      <c r="AW36" s="261" t="e">
        <f t="shared" si="96"/>
        <v>#DIV/0!</v>
      </c>
      <c r="AX36" s="176">
        <v>0</v>
      </c>
      <c r="AY36" s="261">
        <v>0</v>
      </c>
      <c r="AZ36" s="176">
        <f t="shared" si="109"/>
        <v>0</v>
      </c>
      <c r="BA36" s="262" t="e">
        <f t="shared" si="97"/>
        <v>#DIV/0!</v>
      </c>
      <c r="BB36" s="176">
        <f>L36-AV36</f>
        <v>0</v>
      </c>
      <c r="BC36" s="262" t="e">
        <f t="shared" si="98"/>
        <v>#DIV/0!</v>
      </c>
      <c r="BD36" s="176">
        <f>G36-AX36</f>
        <v>0</v>
      </c>
      <c r="BE36" s="262">
        <v>0</v>
      </c>
      <c r="BF36" s="176">
        <f t="shared" si="78"/>
        <v>0</v>
      </c>
      <c r="BG36" s="262" t="e">
        <f t="shared" si="88"/>
        <v>#DIV/0!</v>
      </c>
      <c r="BH36" s="176">
        <v>0</v>
      </c>
      <c r="BI36" s="262" t="e">
        <f t="shared" si="89"/>
        <v>#DIV/0!</v>
      </c>
      <c r="BJ36" s="176">
        <v>0</v>
      </c>
      <c r="BK36" s="262">
        <v>0</v>
      </c>
      <c r="BL36" s="260">
        <f t="shared" si="79"/>
        <v>0</v>
      </c>
      <c r="BM36" s="262" t="e">
        <f t="shared" si="90"/>
        <v>#DIV/0!</v>
      </c>
      <c r="BN36" s="260">
        <f t="shared" si="110"/>
        <v>0</v>
      </c>
      <c r="BO36" s="262" t="e">
        <f t="shared" si="91"/>
        <v>#DIV/0!</v>
      </c>
      <c r="BP36" s="176">
        <v>0</v>
      </c>
      <c r="BQ36" s="262">
        <v>0</v>
      </c>
      <c r="BR36" s="176">
        <f t="shared" si="80"/>
        <v>0</v>
      </c>
      <c r="BS36" s="263">
        <v>0</v>
      </c>
      <c r="BT36" s="176">
        <f t="shared" si="104"/>
        <v>0</v>
      </c>
      <c r="BU36" s="263">
        <v>0</v>
      </c>
      <c r="BV36" s="176">
        <v>0</v>
      </c>
      <c r="BW36" s="263">
        <v>0</v>
      </c>
      <c r="BX36" s="276"/>
      <c r="BY36" s="271" t="e">
        <f t="shared" si="106"/>
        <v>#DIV/0!</v>
      </c>
      <c r="BZ36" s="176" t="e">
        <f t="shared" si="82"/>
        <v>#REF!</v>
      </c>
      <c r="CA36" s="271" t="e">
        <f t="shared" si="83"/>
        <v>#REF!</v>
      </c>
      <c r="CB36" s="176" t="e">
        <f>#REF!-#REF!</f>
        <v>#REF!</v>
      </c>
      <c r="CC36" s="271" t="e">
        <f t="shared" si="84"/>
        <v>#REF!</v>
      </c>
      <c r="CD36" s="176"/>
      <c r="CE36" s="271" t="e">
        <f t="shared" si="68"/>
        <v>#DIV/0!</v>
      </c>
      <c r="CF36" s="266">
        <f t="shared" si="92"/>
        <v>0</v>
      </c>
      <c r="CG36" s="272"/>
      <c r="CH36" s="176">
        <f t="shared" si="85"/>
        <v>0</v>
      </c>
      <c r="CI36" s="272"/>
      <c r="CJ36" s="176">
        <f t="shared" si="86"/>
        <v>0</v>
      </c>
      <c r="CK36" s="273"/>
    </row>
    <row r="37" spans="2:89" s="42" customFormat="1" ht="46.5" hidden="1" customHeight="1">
      <c r="B37" s="247"/>
      <c r="C37" s="295" t="s">
        <v>93</v>
      </c>
      <c r="D37" s="274"/>
      <c r="E37" s="249">
        <f t="shared" si="69"/>
        <v>54497.392</v>
      </c>
      <c r="F37" s="249">
        <v>54497.392</v>
      </c>
      <c r="G37" s="249"/>
      <c r="H37" s="249">
        <f t="shared" si="70"/>
        <v>-53439.184999999998</v>
      </c>
      <c r="I37" s="249">
        <f>L37-F37</f>
        <v>-53439.184999999998</v>
      </c>
      <c r="J37" s="249"/>
      <c r="K37" s="251">
        <f t="shared" si="71"/>
        <v>1058.2070000000001</v>
      </c>
      <c r="L37" s="251">
        <f>982.418+75.789</f>
        <v>1058.2070000000001</v>
      </c>
      <c r="M37" s="251">
        <v>0</v>
      </c>
      <c r="N37" s="251">
        <f t="shared" si="72"/>
        <v>-75.789000000000101</v>
      </c>
      <c r="O37" s="251">
        <f>R37-L37</f>
        <v>-75.789000000000101</v>
      </c>
      <c r="P37" s="251"/>
      <c r="Q37" s="249">
        <f t="shared" si="73"/>
        <v>982.41800000000001</v>
      </c>
      <c r="R37" s="249">
        <v>982.41800000000001</v>
      </c>
      <c r="S37" s="249"/>
      <c r="T37" s="251">
        <f t="shared" si="112"/>
        <v>24986.367480000001</v>
      </c>
      <c r="U37" s="253">
        <f t="shared" si="47"/>
        <v>25.43353997992708</v>
      </c>
      <c r="V37" s="251">
        <v>24986.367480000001</v>
      </c>
      <c r="W37" s="253">
        <f t="shared" si="48"/>
        <v>25.43353997992708</v>
      </c>
      <c r="X37" s="251"/>
      <c r="Y37" s="253" t="e">
        <f t="shared" si="49"/>
        <v>#DIV/0!</v>
      </c>
      <c r="Z37" s="251">
        <f t="shared" si="74"/>
        <v>-24003.949479999999</v>
      </c>
      <c r="AA37" s="253">
        <f t="shared" si="51"/>
        <v>-24.433539979927076</v>
      </c>
      <c r="AB37" s="251">
        <f>R37-V37</f>
        <v>-24003.949479999999</v>
      </c>
      <c r="AC37" s="253">
        <f t="shared" si="52"/>
        <v>-24.433539979927076</v>
      </c>
      <c r="AD37" s="251"/>
      <c r="AE37" s="251">
        <f t="shared" si="75"/>
        <v>0</v>
      </c>
      <c r="AF37" s="251"/>
      <c r="AG37" s="251"/>
      <c r="AH37" s="251">
        <f t="shared" si="76"/>
        <v>7742.6490000000003</v>
      </c>
      <c r="AI37" s="251">
        <v>7742.6490000000003</v>
      </c>
      <c r="AJ37" s="251"/>
      <c r="AK37" s="251">
        <f>AN37+AQ37</f>
        <v>50</v>
      </c>
      <c r="AL37" s="255">
        <f t="shared" si="87"/>
        <v>6.4577381720390525E-3</v>
      </c>
      <c r="AM37" s="256">
        <f t="shared" si="93"/>
        <v>5.089483295297928E-2</v>
      </c>
      <c r="AN37" s="251">
        <v>50</v>
      </c>
      <c r="AO37" s="257">
        <f t="shared" si="77"/>
        <v>6.4577381720390525E-3</v>
      </c>
      <c r="AP37" s="256">
        <f t="shared" si="94"/>
        <v>5.089483295297928E-2</v>
      </c>
      <c r="AQ37" s="252">
        <v>0</v>
      </c>
      <c r="AR37" s="257" t="e">
        <f t="shared" si="57"/>
        <v>#DIV/0!</v>
      </c>
      <c r="AS37" s="257">
        <v>0</v>
      </c>
      <c r="AT37" s="251">
        <f>AV37+AX37</f>
        <v>125.789</v>
      </c>
      <c r="AU37" s="259">
        <f t="shared" si="95"/>
        <v>0.11886993754530067</v>
      </c>
      <c r="AV37" s="260">
        <f t="shared" si="108"/>
        <v>125.789</v>
      </c>
      <c r="AW37" s="261">
        <f t="shared" si="96"/>
        <v>0.11886993754530067</v>
      </c>
      <c r="AX37" s="176">
        <v>0</v>
      </c>
      <c r="AY37" s="261">
        <v>0</v>
      </c>
      <c r="AZ37" s="176">
        <f t="shared" si="109"/>
        <v>932.41800000000012</v>
      </c>
      <c r="BA37" s="262">
        <f t="shared" si="97"/>
        <v>0.88113006245469938</v>
      </c>
      <c r="BB37" s="176">
        <f>L37-AV37</f>
        <v>932.41800000000012</v>
      </c>
      <c r="BC37" s="262">
        <f t="shared" si="98"/>
        <v>0.88113006245469938</v>
      </c>
      <c r="BD37" s="176">
        <f>G37-AX37</f>
        <v>0</v>
      </c>
      <c r="BE37" s="262">
        <v>0</v>
      </c>
      <c r="BF37" s="176">
        <f t="shared" si="78"/>
        <v>125.789</v>
      </c>
      <c r="BG37" s="262">
        <f t="shared" si="88"/>
        <v>1</v>
      </c>
      <c r="BH37" s="176">
        <f>'[1]тыс. руб 1 знак'!$AV$34</f>
        <v>125.789</v>
      </c>
      <c r="BI37" s="262">
        <f t="shared" si="89"/>
        <v>1</v>
      </c>
      <c r="BJ37" s="176">
        <v>0</v>
      </c>
      <c r="BK37" s="262">
        <v>0</v>
      </c>
      <c r="BL37" s="260">
        <f t="shared" si="79"/>
        <v>0</v>
      </c>
      <c r="BM37" s="262">
        <f t="shared" si="90"/>
        <v>0</v>
      </c>
      <c r="BN37" s="260">
        <f t="shared" si="110"/>
        <v>0</v>
      </c>
      <c r="BO37" s="262">
        <f t="shared" si="91"/>
        <v>0</v>
      </c>
      <c r="BP37" s="176">
        <v>0</v>
      </c>
      <c r="BQ37" s="262">
        <v>0</v>
      </c>
      <c r="BR37" s="176">
        <f t="shared" si="80"/>
        <v>932.41800000000012</v>
      </c>
      <c r="BS37" s="263">
        <f t="shared" si="99"/>
        <v>0.88113006245469938</v>
      </c>
      <c r="BT37" s="176">
        <f t="shared" si="104"/>
        <v>932.41800000000012</v>
      </c>
      <c r="BU37" s="263">
        <f t="shared" si="105"/>
        <v>0.88113006245469938</v>
      </c>
      <c r="BV37" s="176">
        <v>0</v>
      </c>
      <c r="BW37" s="263">
        <v>0</v>
      </c>
      <c r="BX37" s="276"/>
      <c r="BY37" s="271" t="e">
        <f t="shared" si="106"/>
        <v>#DIV/0!</v>
      </c>
      <c r="BZ37" s="176" t="e">
        <f t="shared" si="82"/>
        <v>#REF!</v>
      </c>
      <c r="CA37" s="271" t="e">
        <f t="shared" si="83"/>
        <v>#REF!</v>
      </c>
      <c r="CB37" s="176" t="e">
        <f>#REF!-#REF!</f>
        <v>#REF!</v>
      </c>
      <c r="CC37" s="271" t="e">
        <f t="shared" si="84"/>
        <v>#REF!</v>
      </c>
      <c r="CD37" s="176"/>
      <c r="CE37" s="271" t="e">
        <f t="shared" si="68"/>
        <v>#DIV/0!</v>
      </c>
      <c r="CF37" s="266">
        <f t="shared" si="92"/>
        <v>0</v>
      </c>
      <c r="CG37" s="272"/>
      <c r="CH37" s="176">
        <f t="shared" si="85"/>
        <v>0</v>
      </c>
      <c r="CI37" s="272"/>
      <c r="CJ37" s="176">
        <f t="shared" si="86"/>
        <v>0</v>
      </c>
      <c r="CK37" s="273"/>
    </row>
    <row r="38" spans="2:89" s="269" customFormat="1" ht="36" hidden="1" customHeight="1">
      <c r="B38" s="275" t="s">
        <v>94</v>
      </c>
      <c r="C38" s="248" t="s">
        <v>95</v>
      </c>
      <c r="D38" s="274" t="s">
        <v>96</v>
      </c>
      <c r="E38" s="249">
        <f t="shared" si="69"/>
        <v>5066.6666699999996</v>
      </c>
      <c r="F38" s="250">
        <f>SUM(F39:F40)</f>
        <v>5066.6666699999996</v>
      </c>
      <c r="G38" s="250">
        <f>SUM(G39:G40)</f>
        <v>0</v>
      </c>
      <c r="H38" s="249">
        <f t="shared" si="70"/>
        <v>-5066.6666699999996</v>
      </c>
      <c r="I38" s="250">
        <f>SUM(I39:I40)</f>
        <v>-5066.6666699999996</v>
      </c>
      <c r="J38" s="250"/>
      <c r="K38" s="251">
        <f t="shared" si="71"/>
        <v>0</v>
      </c>
      <c r="L38" s="252">
        <f>L39+L40</f>
        <v>0</v>
      </c>
      <c r="M38" s="251">
        <v>0</v>
      </c>
      <c r="N38" s="251">
        <f t="shared" si="72"/>
        <v>0</v>
      </c>
      <c r="O38" s="252">
        <f>SUM(O39:O40)</f>
        <v>0</v>
      </c>
      <c r="P38" s="252"/>
      <c r="Q38" s="249">
        <f t="shared" si="73"/>
        <v>0</v>
      </c>
      <c r="R38" s="250">
        <f>SUM(R39:R40)</f>
        <v>0</v>
      </c>
      <c r="S38" s="250">
        <f>SUM(S39:S40)</f>
        <v>0</v>
      </c>
      <c r="T38" s="252">
        <f>SUM(T39:T40)</f>
        <v>9634.9280099999996</v>
      </c>
      <c r="U38" s="253" t="e">
        <f t="shared" si="47"/>
        <v>#DIV/0!</v>
      </c>
      <c r="V38" s="252">
        <f>SUM(V39:V40)</f>
        <v>9634.9280099999996</v>
      </c>
      <c r="W38" s="253" t="e">
        <f t="shared" si="48"/>
        <v>#DIV/0!</v>
      </c>
      <c r="X38" s="252">
        <f>SUM(X39:X40)</f>
        <v>0</v>
      </c>
      <c r="Y38" s="253">
        <v>0</v>
      </c>
      <c r="Z38" s="251">
        <f t="shared" si="74"/>
        <v>-9634.9280099999996</v>
      </c>
      <c r="AA38" s="253" t="e">
        <f t="shared" si="51"/>
        <v>#DIV/0!</v>
      </c>
      <c r="AB38" s="251">
        <f t="shared" si="101"/>
        <v>-9634.9280099999996</v>
      </c>
      <c r="AC38" s="254" t="e">
        <f t="shared" si="52"/>
        <v>#DIV/0!</v>
      </c>
      <c r="AD38" s="252">
        <f>SUM(AD39:AD40)</f>
        <v>0</v>
      </c>
      <c r="AE38" s="251">
        <f t="shared" si="75"/>
        <v>0</v>
      </c>
      <c r="AF38" s="252">
        <f>SUM(AF39:AF40)</f>
        <v>0</v>
      </c>
      <c r="AG38" s="252">
        <f>SUM(AG39:AG40)</f>
        <v>0</v>
      </c>
      <c r="AH38" s="251">
        <f t="shared" si="76"/>
        <v>0</v>
      </c>
      <c r="AI38" s="252">
        <f>SUM(AI39:AI40)</f>
        <v>0</v>
      </c>
      <c r="AJ38" s="252">
        <f>SUM(AJ39:AJ40)</f>
        <v>0</v>
      </c>
      <c r="AK38" s="252">
        <f>SUM(AK39:AK40)</f>
        <v>0</v>
      </c>
      <c r="AL38" s="255">
        <v>0</v>
      </c>
      <c r="AM38" s="256" t="e">
        <f t="shared" si="93"/>
        <v>#DIV/0!</v>
      </c>
      <c r="AN38" s="252">
        <f>SUM(AN39:AN40)</f>
        <v>0</v>
      </c>
      <c r="AO38" s="257" t="e">
        <f t="shared" si="77"/>
        <v>#DIV/0!</v>
      </c>
      <c r="AP38" s="256" t="e">
        <f t="shared" si="94"/>
        <v>#DIV/0!</v>
      </c>
      <c r="AQ38" s="252">
        <v>0</v>
      </c>
      <c r="AR38" s="258" t="e">
        <f t="shared" si="57"/>
        <v>#DIV/0!</v>
      </c>
      <c r="AS38" s="258">
        <v>0</v>
      </c>
      <c r="AT38" s="252">
        <f>SUM(AT39:AT40)</f>
        <v>0</v>
      </c>
      <c r="AU38" s="259" t="e">
        <f t="shared" si="95"/>
        <v>#DIV/0!</v>
      </c>
      <c r="AV38" s="260">
        <v>0</v>
      </c>
      <c r="AW38" s="261" t="e">
        <f t="shared" si="96"/>
        <v>#DIV/0!</v>
      </c>
      <c r="AX38" s="176">
        <v>0</v>
      </c>
      <c r="AY38" s="261">
        <v>0</v>
      </c>
      <c r="AZ38" s="260">
        <f>SUM(AZ39:AZ40)</f>
        <v>0</v>
      </c>
      <c r="BA38" s="262" t="e">
        <f t="shared" si="97"/>
        <v>#DIV/0!</v>
      </c>
      <c r="BB38" s="260">
        <f>SUM(BB39:BB40)</f>
        <v>0</v>
      </c>
      <c r="BC38" s="262" t="e">
        <f t="shared" si="98"/>
        <v>#DIV/0!</v>
      </c>
      <c r="BD38" s="260">
        <f>SUM(BD39:BD40)</f>
        <v>0</v>
      </c>
      <c r="BE38" s="262">
        <v>0</v>
      </c>
      <c r="BF38" s="176">
        <f t="shared" si="78"/>
        <v>0</v>
      </c>
      <c r="BG38" s="262" t="e">
        <f t="shared" si="88"/>
        <v>#DIV/0!</v>
      </c>
      <c r="BH38" s="260">
        <f>SUM(BH39:BH40)</f>
        <v>0</v>
      </c>
      <c r="BI38" s="262" t="e">
        <f t="shared" si="89"/>
        <v>#DIV/0!</v>
      </c>
      <c r="BJ38" s="260">
        <f>SUM(BJ39:BJ40)</f>
        <v>0</v>
      </c>
      <c r="BK38" s="262">
        <v>0</v>
      </c>
      <c r="BL38" s="260">
        <f t="shared" si="79"/>
        <v>0</v>
      </c>
      <c r="BM38" s="262" t="e">
        <f t="shared" si="90"/>
        <v>#DIV/0!</v>
      </c>
      <c r="BN38" s="260">
        <f>SUM(BN39:BN40)</f>
        <v>0</v>
      </c>
      <c r="BO38" s="262" t="e">
        <f t="shared" si="91"/>
        <v>#DIV/0!</v>
      </c>
      <c r="BP38" s="176">
        <v>0</v>
      </c>
      <c r="BQ38" s="262">
        <v>0</v>
      </c>
      <c r="BR38" s="176">
        <f t="shared" si="80"/>
        <v>0</v>
      </c>
      <c r="BS38" s="263">
        <v>0</v>
      </c>
      <c r="BT38" s="260">
        <f>SUM(BT39:BT40)</f>
        <v>0</v>
      </c>
      <c r="BU38" s="263">
        <v>0</v>
      </c>
      <c r="BV38" s="176">
        <v>0</v>
      </c>
      <c r="BW38" s="263">
        <v>0</v>
      </c>
      <c r="BX38" s="1221"/>
      <c r="BY38" s="265">
        <v>0</v>
      </c>
      <c r="BZ38" s="176" t="e">
        <f t="shared" si="82"/>
        <v>#REF!</v>
      </c>
      <c r="CA38" s="265" t="e">
        <f t="shared" si="83"/>
        <v>#REF!</v>
      </c>
      <c r="CB38" s="277" t="e">
        <f>#REF!-#REF!</f>
        <v>#REF!</v>
      </c>
      <c r="CC38" s="265" t="e">
        <f t="shared" si="84"/>
        <v>#REF!</v>
      </c>
      <c r="CD38" s="260">
        <f>SUM(CD39:CD40)</f>
        <v>0</v>
      </c>
      <c r="CE38" s="265" t="e">
        <f t="shared" si="68"/>
        <v>#DIV/0!</v>
      </c>
      <c r="CF38" s="266" t="s">
        <v>81</v>
      </c>
      <c r="CG38" s="266" t="s">
        <v>81</v>
      </c>
      <c r="CH38" s="176">
        <f t="shared" si="85"/>
        <v>0</v>
      </c>
      <c r="CI38" s="267"/>
      <c r="CJ38" s="176">
        <f t="shared" si="86"/>
        <v>0</v>
      </c>
      <c r="CK38" s="268"/>
    </row>
    <row r="39" spans="2:89" s="42" customFormat="1" ht="21.75" hidden="1" customHeight="1">
      <c r="B39" s="247"/>
      <c r="C39" s="295" t="s">
        <v>97</v>
      </c>
      <c r="D39" s="274"/>
      <c r="E39" s="249">
        <f t="shared" si="69"/>
        <v>0</v>
      </c>
      <c r="F39" s="249"/>
      <c r="G39" s="249"/>
      <c r="H39" s="249">
        <f t="shared" si="70"/>
        <v>0</v>
      </c>
      <c r="I39" s="249">
        <f>L39-F39</f>
        <v>0</v>
      </c>
      <c r="J39" s="249"/>
      <c r="K39" s="251">
        <f t="shared" si="71"/>
        <v>0</v>
      </c>
      <c r="L39" s="251">
        <v>0</v>
      </c>
      <c r="M39" s="251">
        <v>0</v>
      </c>
      <c r="N39" s="251">
        <f t="shared" si="72"/>
        <v>0</v>
      </c>
      <c r="O39" s="251">
        <f>R39-L39</f>
        <v>0</v>
      </c>
      <c r="P39" s="251"/>
      <c r="Q39" s="249">
        <f t="shared" si="73"/>
        <v>0</v>
      </c>
      <c r="R39" s="249">
        <v>0</v>
      </c>
      <c r="S39" s="249"/>
      <c r="T39" s="251"/>
      <c r="U39" s="253" t="e">
        <f t="shared" si="47"/>
        <v>#DIV/0!</v>
      </c>
      <c r="V39" s="251"/>
      <c r="W39" s="253" t="e">
        <f t="shared" si="48"/>
        <v>#DIV/0!</v>
      </c>
      <c r="X39" s="251"/>
      <c r="Y39" s="253" t="e">
        <f t="shared" si="49"/>
        <v>#DIV/0!</v>
      </c>
      <c r="Z39" s="251">
        <f t="shared" si="74"/>
        <v>0</v>
      </c>
      <c r="AA39" s="253" t="e">
        <f t="shared" si="51"/>
        <v>#DIV/0!</v>
      </c>
      <c r="AB39" s="251">
        <f t="shared" si="101"/>
        <v>0</v>
      </c>
      <c r="AC39" s="253" t="e">
        <f t="shared" si="52"/>
        <v>#DIV/0!</v>
      </c>
      <c r="AD39" s="251"/>
      <c r="AE39" s="251">
        <f t="shared" si="75"/>
        <v>0</v>
      </c>
      <c r="AF39" s="251"/>
      <c r="AG39" s="251"/>
      <c r="AH39" s="251">
        <f t="shared" si="76"/>
        <v>0</v>
      </c>
      <c r="AI39" s="251"/>
      <c r="AJ39" s="251"/>
      <c r="AK39" s="251">
        <f>AN39+AQ39</f>
        <v>0</v>
      </c>
      <c r="AL39" s="255" t="e">
        <f t="shared" si="87"/>
        <v>#DIV/0!</v>
      </c>
      <c r="AM39" s="256">
        <v>0</v>
      </c>
      <c r="AN39" s="251">
        <v>0</v>
      </c>
      <c r="AO39" s="257" t="e">
        <f t="shared" si="77"/>
        <v>#DIV/0!</v>
      </c>
      <c r="AP39" s="256">
        <v>0</v>
      </c>
      <c r="AQ39" s="252">
        <v>0</v>
      </c>
      <c r="AR39" s="257" t="e">
        <f t="shared" si="57"/>
        <v>#DIV/0!</v>
      </c>
      <c r="AS39" s="257">
        <v>0</v>
      </c>
      <c r="AT39" s="251">
        <f>AV39+AX39</f>
        <v>0</v>
      </c>
      <c r="AU39" s="259" t="e">
        <f t="shared" si="95"/>
        <v>#DIV/0!</v>
      </c>
      <c r="AV39" s="176">
        <f>L39</f>
        <v>0</v>
      </c>
      <c r="AW39" s="261" t="e">
        <f t="shared" si="96"/>
        <v>#DIV/0!</v>
      </c>
      <c r="AX39" s="176">
        <v>0</v>
      </c>
      <c r="AY39" s="261">
        <v>0</v>
      </c>
      <c r="AZ39" s="176">
        <f>BB39+BD39</f>
        <v>0</v>
      </c>
      <c r="BA39" s="262" t="e">
        <f t="shared" si="97"/>
        <v>#DIV/0!</v>
      </c>
      <c r="BB39" s="176">
        <f>L39-AV39</f>
        <v>0</v>
      </c>
      <c r="BC39" s="262" t="e">
        <f t="shared" si="98"/>
        <v>#DIV/0!</v>
      </c>
      <c r="BD39" s="176">
        <f>G39-AX39</f>
        <v>0</v>
      </c>
      <c r="BE39" s="262">
        <v>0</v>
      </c>
      <c r="BF39" s="176">
        <f t="shared" si="78"/>
        <v>0</v>
      </c>
      <c r="BG39" s="262" t="e">
        <f t="shared" si="88"/>
        <v>#DIV/0!</v>
      </c>
      <c r="BH39" s="176">
        <v>0</v>
      </c>
      <c r="BI39" s="262" t="e">
        <f t="shared" si="89"/>
        <v>#DIV/0!</v>
      </c>
      <c r="BJ39" s="176">
        <v>0</v>
      </c>
      <c r="BK39" s="262">
        <v>0</v>
      </c>
      <c r="BL39" s="260">
        <f t="shared" si="79"/>
        <v>0</v>
      </c>
      <c r="BM39" s="262" t="e">
        <f t="shared" si="90"/>
        <v>#DIV/0!</v>
      </c>
      <c r="BN39" s="260">
        <f t="shared" si="110"/>
        <v>0</v>
      </c>
      <c r="BO39" s="262" t="e">
        <f t="shared" si="91"/>
        <v>#DIV/0!</v>
      </c>
      <c r="BP39" s="176">
        <v>0</v>
      </c>
      <c r="BQ39" s="262">
        <v>0</v>
      </c>
      <c r="BR39" s="176">
        <f t="shared" si="80"/>
        <v>0</v>
      </c>
      <c r="BS39" s="263">
        <v>0</v>
      </c>
      <c r="BT39" s="176">
        <f t="shared" ref="BT39:BT40" si="113">L39-BH39</f>
        <v>0</v>
      </c>
      <c r="BU39" s="263">
        <v>0</v>
      </c>
      <c r="BV39" s="176">
        <v>0</v>
      </c>
      <c r="BW39" s="263">
        <v>0</v>
      </c>
      <c r="BX39" s="1221"/>
      <c r="BY39" s="271" t="e">
        <f>AD39/S39</f>
        <v>#DIV/0!</v>
      </c>
      <c r="BZ39" s="176" t="e">
        <f t="shared" si="82"/>
        <v>#REF!</v>
      </c>
      <c r="CA39" s="271" t="e">
        <f t="shared" si="83"/>
        <v>#REF!</v>
      </c>
      <c r="CB39" s="176" t="e">
        <f>#REF!-#REF!</f>
        <v>#REF!</v>
      </c>
      <c r="CC39" s="271" t="e">
        <f t="shared" si="84"/>
        <v>#REF!</v>
      </c>
      <c r="CD39" s="176"/>
      <c r="CE39" s="271" t="e">
        <f t="shared" si="68"/>
        <v>#DIV/0!</v>
      </c>
      <c r="CF39" s="176">
        <f t="shared" si="92"/>
        <v>0</v>
      </c>
      <c r="CG39" s="272"/>
      <c r="CH39" s="176">
        <f t="shared" si="85"/>
        <v>0</v>
      </c>
      <c r="CI39" s="272"/>
      <c r="CJ39" s="176">
        <f t="shared" si="86"/>
        <v>0</v>
      </c>
      <c r="CK39" s="273"/>
    </row>
    <row r="40" spans="2:89" s="42" customFormat="1" ht="48" hidden="1" customHeight="1">
      <c r="B40" s="247"/>
      <c r="C40" s="295" t="s">
        <v>98</v>
      </c>
      <c r="D40" s="274"/>
      <c r="E40" s="249">
        <f t="shared" si="69"/>
        <v>5066.6666699999996</v>
      </c>
      <c r="F40" s="249">
        <v>5066.6666699999996</v>
      </c>
      <c r="G40" s="249"/>
      <c r="H40" s="249">
        <f t="shared" si="70"/>
        <v>-5066.6666699999996</v>
      </c>
      <c r="I40" s="249">
        <f>L40-F40</f>
        <v>-5066.6666699999996</v>
      </c>
      <c r="J40" s="249"/>
      <c r="K40" s="251">
        <f t="shared" si="71"/>
        <v>0</v>
      </c>
      <c r="L40" s="251">
        <v>0</v>
      </c>
      <c r="M40" s="251">
        <v>0</v>
      </c>
      <c r="N40" s="251">
        <f t="shared" si="72"/>
        <v>0</v>
      </c>
      <c r="O40" s="251">
        <f>R40-L40</f>
        <v>0</v>
      </c>
      <c r="P40" s="251"/>
      <c r="Q40" s="249">
        <f t="shared" si="73"/>
        <v>0</v>
      </c>
      <c r="R40" s="249">
        <v>0</v>
      </c>
      <c r="S40" s="249"/>
      <c r="T40" s="251">
        <f>V40+X40</f>
        <v>9634.9280099999996</v>
      </c>
      <c r="U40" s="253" t="e">
        <f t="shared" si="47"/>
        <v>#DIV/0!</v>
      </c>
      <c r="V40" s="251">
        <v>9634.9280099999996</v>
      </c>
      <c r="W40" s="253" t="e">
        <f t="shared" si="48"/>
        <v>#DIV/0!</v>
      </c>
      <c r="X40" s="251"/>
      <c r="Y40" s="253" t="e">
        <f t="shared" si="49"/>
        <v>#DIV/0!</v>
      </c>
      <c r="Z40" s="251">
        <f t="shared" si="74"/>
        <v>-9634.9280099999996</v>
      </c>
      <c r="AA40" s="253" t="e">
        <f t="shared" si="51"/>
        <v>#DIV/0!</v>
      </c>
      <c r="AB40" s="251">
        <f t="shared" si="101"/>
        <v>-9634.9280099999996</v>
      </c>
      <c r="AC40" s="253" t="e">
        <f t="shared" si="52"/>
        <v>#DIV/0!</v>
      </c>
      <c r="AD40" s="251"/>
      <c r="AE40" s="251">
        <f t="shared" si="75"/>
        <v>0</v>
      </c>
      <c r="AF40" s="251"/>
      <c r="AG40" s="251"/>
      <c r="AH40" s="251">
        <f t="shared" si="76"/>
        <v>0</v>
      </c>
      <c r="AI40" s="251"/>
      <c r="AJ40" s="251"/>
      <c r="AK40" s="251">
        <f>AN40+AQ40</f>
        <v>0</v>
      </c>
      <c r="AL40" s="255" t="e">
        <f t="shared" si="87"/>
        <v>#DIV/0!</v>
      </c>
      <c r="AM40" s="256" t="e">
        <f t="shared" si="93"/>
        <v>#DIV/0!</v>
      </c>
      <c r="AN40" s="251">
        <v>0</v>
      </c>
      <c r="AO40" s="257" t="e">
        <f t="shared" si="77"/>
        <v>#DIV/0!</v>
      </c>
      <c r="AP40" s="256" t="e">
        <f t="shared" si="94"/>
        <v>#DIV/0!</v>
      </c>
      <c r="AQ40" s="252">
        <v>0</v>
      </c>
      <c r="AR40" s="257" t="e">
        <f t="shared" si="57"/>
        <v>#DIV/0!</v>
      </c>
      <c r="AS40" s="257">
        <v>0</v>
      </c>
      <c r="AT40" s="251">
        <f>AV40+AX40</f>
        <v>0</v>
      </c>
      <c r="AU40" s="259" t="e">
        <f t="shared" si="95"/>
        <v>#DIV/0!</v>
      </c>
      <c r="AV40" s="176">
        <v>0</v>
      </c>
      <c r="AW40" s="261" t="e">
        <f t="shared" si="96"/>
        <v>#DIV/0!</v>
      </c>
      <c r="AX40" s="176">
        <v>0</v>
      </c>
      <c r="AY40" s="261">
        <v>0</v>
      </c>
      <c r="AZ40" s="176">
        <f>BB40+BD40</f>
        <v>0</v>
      </c>
      <c r="BA40" s="262" t="e">
        <f t="shared" si="97"/>
        <v>#DIV/0!</v>
      </c>
      <c r="BB40" s="176">
        <f>L40-AV40</f>
        <v>0</v>
      </c>
      <c r="BC40" s="262" t="e">
        <f t="shared" si="98"/>
        <v>#DIV/0!</v>
      </c>
      <c r="BD40" s="176">
        <f>G40-AX40</f>
        <v>0</v>
      </c>
      <c r="BE40" s="262">
        <v>0</v>
      </c>
      <c r="BF40" s="176">
        <f t="shared" si="78"/>
        <v>0</v>
      </c>
      <c r="BG40" s="262" t="e">
        <f t="shared" si="88"/>
        <v>#DIV/0!</v>
      </c>
      <c r="BH40" s="176">
        <v>0</v>
      </c>
      <c r="BI40" s="262" t="e">
        <f t="shared" si="89"/>
        <v>#DIV/0!</v>
      </c>
      <c r="BJ40" s="176">
        <v>0</v>
      </c>
      <c r="BK40" s="262">
        <v>0</v>
      </c>
      <c r="BL40" s="260">
        <f t="shared" si="79"/>
        <v>0</v>
      </c>
      <c r="BM40" s="262" t="e">
        <f t="shared" si="90"/>
        <v>#DIV/0!</v>
      </c>
      <c r="BN40" s="260">
        <f t="shared" si="110"/>
        <v>0</v>
      </c>
      <c r="BO40" s="262" t="e">
        <f t="shared" si="91"/>
        <v>#DIV/0!</v>
      </c>
      <c r="BP40" s="176">
        <v>0</v>
      </c>
      <c r="BQ40" s="262">
        <v>0</v>
      </c>
      <c r="BR40" s="176">
        <f t="shared" si="80"/>
        <v>0</v>
      </c>
      <c r="BS40" s="263">
        <v>0</v>
      </c>
      <c r="BT40" s="176">
        <f t="shared" si="113"/>
        <v>0</v>
      </c>
      <c r="BU40" s="263">
        <v>0</v>
      </c>
      <c r="BV40" s="176">
        <v>0</v>
      </c>
      <c r="BW40" s="263">
        <v>0</v>
      </c>
      <c r="BX40" s="1221"/>
      <c r="BY40" s="271" t="e">
        <f>AD40/S40</f>
        <v>#DIV/0!</v>
      </c>
      <c r="BZ40" s="176" t="e">
        <f t="shared" si="82"/>
        <v>#REF!</v>
      </c>
      <c r="CA40" s="271" t="e">
        <f t="shared" si="83"/>
        <v>#REF!</v>
      </c>
      <c r="CB40" s="176" t="e">
        <f>#REF!-#REF!</f>
        <v>#REF!</v>
      </c>
      <c r="CC40" s="271" t="e">
        <f t="shared" si="84"/>
        <v>#REF!</v>
      </c>
      <c r="CD40" s="176"/>
      <c r="CE40" s="271" t="e">
        <f t="shared" si="68"/>
        <v>#DIV/0!</v>
      </c>
      <c r="CF40" s="176">
        <f t="shared" si="92"/>
        <v>0</v>
      </c>
      <c r="CG40" s="272"/>
      <c r="CH40" s="176">
        <f t="shared" si="85"/>
        <v>0</v>
      </c>
      <c r="CI40" s="272"/>
      <c r="CJ40" s="176">
        <f t="shared" si="86"/>
        <v>0</v>
      </c>
      <c r="CK40" s="273"/>
    </row>
    <row r="41" spans="2:89" s="269" customFormat="1" ht="80.25" customHeight="1">
      <c r="B41" s="275" t="s">
        <v>94</v>
      </c>
      <c r="C41" s="248" t="s">
        <v>99</v>
      </c>
      <c r="D41" s="274" t="s">
        <v>100</v>
      </c>
      <c r="E41" s="249">
        <f t="shared" si="69"/>
        <v>493237.74884999997</v>
      </c>
      <c r="F41" s="250">
        <f>F42+F43</f>
        <v>493237.74884999997</v>
      </c>
      <c r="G41" s="250">
        <f>G42+G43</f>
        <v>0</v>
      </c>
      <c r="H41" s="249">
        <f t="shared" si="70"/>
        <v>-493219.22904999997</v>
      </c>
      <c r="I41" s="250">
        <f>I42+I43</f>
        <v>-493219.22904999997</v>
      </c>
      <c r="J41" s="250"/>
      <c r="K41" s="251">
        <f t="shared" si="71"/>
        <v>20.296520000000001</v>
      </c>
      <c r="L41" s="252">
        <f>L42+L43</f>
        <v>20.296520000000001</v>
      </c>
      <c r="M41" s="251">
        <v>0</v>
      </c>
      <c r="N41" s="251">
        <f t="shared" si="72"/>
        <v>0</v>
      </c>
      <c r="O41" s="252">
        <f>O42+O43</f>
        <v>0</v>
      </c>
      <c r="P41" s="252"/>
      <c r="Q41" s="249">
        <f t="shared" si="73"/>
        <v>3203.68568</v>
      </c>
      <c r="R41" s="250">
        <f>R42+R43</f>
        <v>3203.68568</v>
      </c>
      <c r="S41" s="250">
        <f>S42+S43</f>
        <v>0</v>
      </c>
      <c r="T41" s="252">
        <f>T42+T43</f>
        <v>74414.573629999999</v>
      </c>
      <c r="U41" s="253">
        <f t="shared" si="47"/>
        <v>23.227801058810488</v>
      </c>
      <c r="V41" s="252">
        <f>V42+V43</f>
        <v>74414.573629999999</v>
      </c>
      <c r="W41" s="253">
        <f t="shared" si="48"/>
        <v>23.227801058810488</v>
      </c>
      <c r="X41" s="252">
        <f>X42+X43</f>
        <v>0</v>
      </c>
      <c r="Y41" s="253">
        <v>0</v>
      </c>
      <c r="Z41" s="251">
        <f t="shared" si="74"/>
        <v>-74394.277109999995</v>
      </c>
      <c r="AA41" s="253">
        <f t="shared" si="51"/>
        <v>-23.221465693226182</v>
      </c>
      <c r="AB41" s="251">
        <f t="shared" si="101"/>
        <v>-74394.277109999995</v>
      </c>
      <c r="AC41" s="254">
        <f t="shared" si="52"/>
        <v>-23.221465693226182</v>
      </c>
      <c r="AD41" s="252">
        <f>AD42+AD43</f>
        <v>0</v>
      </c>
      <c r="AE41" s="251">
        <f t="shared" si="75"/>
        <v>0</v>
      </c>
      <c r="AF41" s="252">
        <f>AF42+AF43</f>
        <v>0</v>
      </c>
      <c r="AG41" s="252">
        <f>AG42+AG43</f>
        <v>0</v>
      </c>
      <c r="AH41" s="251">
        <f t="shared" si="76"/>
        <v>8282.538700000001</v>
      </c>
      <c r="AI41" s="252">
        <f>AI42+AI43</f>
        <v>8282.538700000001</v>
      </c>
      <c r="AJ41" s="252">
        <f>AJ42+AJ43</f>
        <v>0</v>
      </c>
      <c r="AK41" s="252">
        <f>AK42+AK43</f>
        <v>1.7767200000000001</v>
      </c>
      <c r="AL41" s="255">
        <f t="shared" si="87"/>
        <v>2.1451393882409507E-4</v>
      </c>
      <c r="AM41" s="256">
        <f t="shared" si="93"/>
        <v>5.5458624143177489E-4</v>
      </c>
      <c r="AN41" s="252">
        <f>AN42+AN43</f>
        <v>1.7767200000000001</v>
      </c>
      <c r="AO41" s="257">
        <f t="shared" si="77"/>
        <v>2.1451393882409507E-4</v>
      </c>
      <c r="AP41" s="256">
        <f t="shared" si="94"/>
        <v>5.5458624143177489E-4</v>
      </c>
      <c r="AQ41" s="252">
        <v>0</v>
      </c>
      <c r="AR41" s="258" t="e">
        <f t="shared" si="57"/>
        <v>#DIV/0!</v>
      </c>
      <c r="AS41" s="258">
        <v>0</v>
      </c>
      <c r="AT41" s="252">
        <f>AT42+AT43</f>
        <v>20.296520000000001</v>
      </c>
      <c r="AU41" s="259">
        <f t="shared" si="95"/>
        <v>1</v>
      </c>
      <c r="AV41" s="260">
        <f>AV42+AV43</f>
        <v>20.296520000000001</v>
      </c>
      <c r="AW41" s="261">
        <f t="shared" si="96"/>
        <v>1</v>
      </c>
      <c r="AX41" s="176">
        <v>0</v>
      </c>
      <c r="AY41" s="261">
        <v>0</v>
      </c>
      <c r="AZ41" s="260">
        <f>AZ42+AZ43</f>
        <v>0</v>
      </c>
      <c r="BA41" s="262">
        <f t="shared" si="97"/>
        <v>0</v>
      </c>
      <c r="BB41" s="260">
        <f>BB42+BB43</f>
        <v>0</v>
      </c>
      <c r="BC41" s="262">
        <f t="shared" si="98"/>
        <v>0</v>
      </c>
      <c r="BD41" s="260">
        <f>BD42+BD43</f>
        <v>0</v>
      </c>
      <c r="BE41" s="262">
        <v>0</v>
      </c>
      <c r="BF41" s="176">
        <f t="shared" si="78"/>
        <v>20.296520000000001</v>
      </c>
      <c r="BG41" s="262">
        <f t="shared" si="88"/>
        <v>1</v>
      </c>
      <c r="BH41" s="260">
        <f>BH42+BH43</f>
        <v>20.296520000000001</v>
      </c>
      <c r="BI41" s="262">
        <f t="shared" si="89"/>
        <v>1</v>
      </c>
      <c r="BJ41" s="260">
        <f>BJ42+BJ43</f>
        <v>0</v>
      </c>
      <c r="BK41" s="262">
        <v>0</v>
      </c>
      <c r="BL41" s="260">
        <f t="shared" si="79"/>
        <v>0</v>
      </c>
      <c r="BM41" s="262">
        <f t="shared" si="90"/>
        <v>0</v>
      </c>
      <c r="BN41" s="260">
        <f>BN42+BN43</f>
        <v>0</v>
      </c>
      <c r="BO41" s="262">
        <f t="shared" si="91"/>
        <v>0</v>
      </c>
      <c r="BP41" s="260">
        <f>BP42+BP43</f>
        <v>0</v>
      </c>
      <c r="BQ41" s="262">
        <v>0</v>
      </c>
      <c r="BR41" s="176">
        <f t="shared" si="80"/>
        <v>0</v>
      </c>
      <c r="BS41" s="263">
        <f t="shared" si="99"/>
        <v>0</v>
      </c>
      <c r="BT41" s="260">
        <f>BT42+BT43</f>
        <v>0</v>
      </c>
      <c r="BU41" s="263">
        <f t="shared" si="105"/>
        <v>0</v>
      </c>
      <c r="BV41" s="260">
        <f>BV42+BV43</f>
        <v>0</v>
      </c>
      <c r="BW41" s="263">
        <v>0</v>
      </c>
      <c r="BX41" s="1218" t="s">
        <v>81</v>
      </c>
      <c r="BY41" s="265">
        <v>0</v>
      </c>
      <c r="BZ41" s="176" t="e">
        <f t="shared" si="82"/>
        <v>#REF!</v>
      </c>
      <c r="CA41" s="265" t="e">
        <f t="shared" si="83"/>
        <v>#REF!</v>
      </c>
      <c r="CB41" s="277" t="e">
        <f>#REF!-#REF!</f>
        <v>#REF!</v>
      </c>
      <c r="CC41" s="265" t="e">
        <f t="shared" si="84"/>
        <v>#REF!</v>
      </c>
      <c r="CD41" s="260">
        <f>CD42+CD43</f>
        <v>0</v>
      </c>
      <c r="CE41" s="265" t="e">
        <f t="shared" si="68"/>
        <v>#DIV/0!</v>
      </c>
      <c r="CF41" s="176" t="s">
        <v>101</v>
      </c>
      <c r="CG41" s="176" t="s">
        <v>81</v>
      </c>
      <c r="CH41" s="176">
        <f t="shared" si="85"/>
        <v>0</v>
      </c>
      <c r="CI41" s="267"/>
      <c r="CJ41" s="176">
        <f t="shared" si="86"/>
        <v>0</v>
      </c>
      <c r="CK41" s="268"/>
    </row>
    <row r="42" spans="2:89" s="42" customFormat="1" ht="21.75" hidden="1" customHeight="1">
      <c r="B42" s="247"/>
      <c r="C42" s="270" t="s">
        <v>90</v>
      </c>
      <c r="D42" s="274"/>
      <c r="E42" s="249">
        <f t="shared" si="69"/>
        <v>171814.58385000002</v>
      </c>
      <c r="F42" s="250">
        <f>F44+F45+F46+F48</f>
        <v>171814.58385000002</v>
      </c>
      <c r="G42" s="250">
        <f>G44+G45+G46+G48</f>
        <v>0</v>
      </c>
      <c r="H42" s="249">
        <f t="shared" si="70"/>
        <v>-171796.06405000002</v>
      </c>
      <c r="I42" s="250">
        <f>I44+I45+I46+I48</f>
        <v>-171796.06405000002</v>
      </c>
      <c r="J42" s="250"/>
      <c r="K42" s="251">
        <f t="shared" si="71"/>
        <v>20.296520000000001</v>
      </c>
      <c r="L42" s="252">
        <f>L44+L45+L46+L47+L48</f>
        <v>20.296520000000001</v>
      </c>
      <c r="M42" s="251">
        <v>0</v>
      </c>
      <c r="N42" s="251">
        <f>N44+N45+N46+N47+N48</f>
        <v>0</v>
      </c>
      <c r="O42" s="252">
        <f>O44+O45+O46+O48</f>
        <v>0</v>
      </c>
      <c r="P42" s="252"/>
      <c r="Q42" s="249">
        <f t="shared" si="73"/>
        <v>3203.68568</v>
      </c>
      <c r="R42" s="249">
        <f>R45+R46</f>
        <v>3203.68568</v>
      </c>
      <c r="S42" s="250">
        <f>S44+S45+S46+S48</f>
        <v>0</v>
      </c>
      <c r="T42" s="251">
        <f>V42+X42</f>
        <v>74414.573629999999</v>
      </c>
      <c r="U42" s="253">
        <f t="shared" si="47"/>
        <v>23.227801058810488</v>
      </c>
      <c r="V42" s="251">
        <f>V44+V45+V46+V47+V48</f>
        <v>74414.573629999999</v>
      </c>
      <c r="W42" s="253">
        <f t="shared" si="48"/>
        <v>23.227801058810488</v>
      </c>
      <c r="X42" s="252">
        <f>X44+X45+X46+X48</f>
        <v>0</v>
      </c>
      <c r="Y42" s="253" t="e">
        <f t="shared" si="49"/>
        <v>#DIV/0!</v>
      </c>
      <c r="Z42" s="251">
        <f t="shared" si="74"/>
        <v>-74394.277109999995</v>
      </c>
      <c r="AA42" s="253">
        <f t="shared" si="51"/>
        <v>-23.221465693226182</v>
      </c>
      <c r="AB42" s="251">
        <f t="shared" si="101"/>
        <v>-74394.277109999995</v>
      </c>
      <c r="AC42" s="253">
        <f t="shared" si="52"/>
        <v>-23.221465693226182</v>
      </c>
      <c r="AD42" s="252">
        <f>AD44+AD45+AD46+AD47</f>
        <v>0</v>
      </c>
      <c r="AE42" s="251">
        <f t="shared" si="75"/>
        <v>0</v>
      </c>
      <c r="AF42" s="252">
        <f>AF44+AF45+AF46+AF48</f>
        <v>0</v>
      </c>
      <c r="AG42" s="252">
        <f>AG44+AG45+AG46+AG48</f>
        <v>0</v>
      </c>
      <c r="AH42" s="251">
        <f t="shared" si="76"/>
        <v>8282.538700000001</v>
      </c>
      <c r="AI42" s="252">
        <f>AI44+AI45+AI46+AI48+AI47</f>
        <v>8282.538700000001</v>
      </c>
      <c r="AJ42" s="252">
        <f>AJ44+AJ45+AJ46+AJ48</f>
        <v>0</v>
      </c>
      <c r="AK42" s="252">
        <f>AK44+AK45+AK46+AK48+AK47</f>
        <v>1.7767200000000001</v>
      </c>
      <c r="AL42" s="255">
        <f t="shared" si="87"/>
        <v>2.1451393882409507E-4</v>
      </c>
      <c r="AM42" s="256">
        <f t="shared" si="93"/>
        <v>5.5458624143177489E-4</v>
      </c>
      <c r="AN42" s="252">
        <f>AN44+AN45+AN46+AN48+AN47</f>
        <v>1.7767200000000001</v>
      </c>
      <c r="AO42" s="257">
        <f t="shared" si="77"/>
        <v>2.1451393882409507E-4</v>
      </c>
      <c r="AP42" s="256">
        <f t="shared" si="94"/>
        <v>5.5458624143177489E-4</v>
      </c>
      <c r="AQ42" s="252">
        <v>0</v>
      </c>
      <c r="AR42" s="257" t="e">
        <f t="shared" si="57"/>
        <v>#DIV/0!</v>
      </c>
      <c r="AS42" s="257">
        <v>0</v>
      </c>
      <c r="AT42" s="252">
        <f>AT44+AT45+AT46+AT48+AT47</f>
        <v>20.296520000000001</v>
      </c>
      <c r="AU42" s="259">
        <f t="shared" si="95"/>
        <v>1</v>
      </c>
      <c r="AV42" s="260">
        <f>AV44+AV45+AV46+AV48+AV47</f>
        <v>20.296520000000001</v>
      </c>
      <c r="AW42" s="261">
        <f t="shared" si="96"/>
        <v>1</v>
      </c>
      <c r="AX42" s="176">
        <v>0</v>
      </c>
      <c r="AY42" s="261">
        <v>0</v>
      </c>
      <c r="AZ42" s="260">
        <f>AZ44+AZ45+AZ46+AZ48</f>
        <v>0</v>
      </c>
      <c r="BA42" s="262">
        <f t="shared" si="97"/>
        <v>0</v>
      </c>
      <c r="BB42" s="176">
        <f>L42-AV42</f>
        <v>0</v>
      </c>
      <c r="BC42" s="262">
        <f t="shared" si="98"/>
        <v>0</v>
      </c>
      <c r="BD42" s="260">
        <f>BD44+BD45+BD46+BD48</f>
        <v>0</v>
      </c>
      <c r="BE42" s="262">
        <v>0</v>
      </c>
      <c r="BF42" s="176">
        <f t="shared" si="78"/>
        <v>20.296520000000001</v>
      </c>
      <c r="BG42" s="262">
        <f t="shared" si="88"/>
        <v>1</v>
      </c>
      <c r="BH42" s="260">
        <f>BH44+BH45+BH46+BH48+BH47</f>
        <v>20.296520000000001</v>
      </c>
      <c r="BI42" s="262">
        <f t="shared" si="89"/>
        <v>1</v>
      </c>
      <c r="BJ42" s="260">
        <f>BJ44+BJ45+BJ46+BJ48</f>
        <v>0</v>
      </c>
      <c r="BK42" s="262">
        <v>0</v>
      </c>
      <c r="BL42" s="260">
        <f t="shared" si="79"/>
        <v>0</v>
      </c>
      <c r="BM42" s="262">
        <f t="shared" si="90"/>
        <v>0</v>
      </c>
      <c r="BN42" s="260">
        <f t="shared" si="110"/>
        <v>0</v>
      </c>
      <c r="BO42" s="262">
        <f t="shared" si="91"/>
        <v>0</v>
      </c>
      <c r="BP42" s="260">
        <f>BP44+BP45+BP46+BP48</f>
        <v>0</v>
      </c>
      <c r="BQ42" s="262">
        <v>0</v>
      </c>
      <c r="BR42" s="176">
        <f t="shared" si="80"/>
        <v>0</v>
      </c>
      <c r="BS42" s="263">
        <f t="shared" si="99"/>
        <v>0</v>
      </c>
      <c r="BT42" s="176">
        <f t="shared" ref="BT42:BT48" si="114">L42-BH42</f>
        <v>0</v>
      </c>
      <c r="BU42" s="263">
        <f t="shared" si="105"/>
        <v>0</v>
      </c>
      <c r="BV42" s="260">
        <f>BV44+BV45+BV46+BV48</f>
        <v>0</v>
      </c>
      <c r="BW42" s="263">
        <v>0</v>
      </c>
      <c r="BX42" s="1219"/>
      <c r="BY42" s="271" t="e">
        <f t="shared" ref="BY42:BY48" si="115">AD42/S42</f>
        <v>#DIV/0!</v>
      </c>
      <c r="BZ42" s="176" t="e">
        <f t="shared" si="82"/>
        <v>#REF!</v>
      </c>
      <c r="CA42" s="271" t="e">
        <f t="shared" si="83"/>
        <v>#REF!</v>
      </c>
      <c r="CB42" s="176" t="e">
        <f>#REF!-#REF!</f>
        <v>#REF!</v>
      </c>
      <c r="CC42" s="271" t="e">
        <f t="shared" si="84"/>
        <v>#REF!</v>
      </c>
      <c r="CD42" s="260">
        <f>CD44+CD45+CD46+CD47</f>
        <v>0</v>
      </c>
      <c r="CE42" s="271" t="e">
        <f t="shared" si="68"/>
        <v>#DIV/0!</v>
      </c>
      <c r="CF42" s="176">
        <f t="shared" si="92"/>
        <v>0</v>
      </c>
      <c r="CG42" s="272"/>
      <c r="CH42" s="176">
        <f t="shared" si="85"/>
        <v>0</v>
      </c>
      <c r="CI42" s="272"/>
      <c r="CJ42" s="176">
        <f t="shared" si="86"/>
        <v>0</v>
      </c>
      <c r="CK42" s="273"/>
    </row>
    <row r="43" spans="2:89" s="104" customFormat="1" ht="21.75" hidden="1" customHeight="1">
      <c r="B43" s="278"/>
      <c r="C43" s="296" t="s">
        <v>91</v>
      </c>
      <c r="D43" s="297"/>
      <c r="E43" s="280">
        <f t="shared" si="69"/>
        <v>321423.16499999998</v>
      </c>
      <c r="F43" s="281">
        <f>321423.165</f>
        <v>321423.16499999998</v>
      </c>
      <c r="G43" s="281"/>
      <c r="H43" s="280">
        <f t="shared" si="70"/>
        <v>-321423.16499999998</v>
      </c>
      <c r="I43" s="280">
        <f>L43-F43</f>
        <v>-321423.16499999998</v>
      </c>
      <c r="J43" s="280"/>
      <c r="K43" s="282">
        <f t="shared" si="71"/>
        <v>0</v>
      </c>
      <c r="L43" s="283">
        <v>0</v>
      </c>
      <c r="M43" s="283">
        <v>0</v>
      </c>
      <c r="N43" s="282">
        <f t="shared" si="72"/>
        <v>0</v>
      </c>
      <c r="O43" s="283"/>
      <c r="P43" s="282"/>
      <c r="Q43" s="280">
        <f t="shared" si="73"/>
        <v>0</v>
      </c>
      <c r="R43" s="280">
        <f t="shared" ref="R43:R51" si="116">L43+O43</f>
        <v>0</v>
      </c>
      <c r="S43" s="281"/>
      <c r="T43" s="283"/>
      <c r="U43" s="284" t="e">
        <f t="shared" si="47"/>
        <v>#DIV/0!</v>
      </c>
      <c r="V43" s="283"/>
      <c r="W43" s="284" t="e">
        <f t="shared" si="48"/>
        <v>#DIV/0!</v>
      </c>
      <c r="X43" s="283"/>
      <c r="Y43" s="284" t="e">
        <f t="shared" si="49"/>
        <v>#DIV/0!</v>
      </c>
      <c r="Z43" s="282">
        <f t="shared" si="74"/>
        <v>0</v>
      </c>
      <c r="AA43" s="284" t="e">
        <f t="shared" si="51"/>
        <v>#DIV/0!</v>
      </c>
      <c r="AB43" s="282">
        <f t="shared" si="101"/>
        <v>0</v>
      </c>
      <c r="AC43" s="284" t="e">
        <f t="shared" si="52"/>
        <v>#DIV/0!</v>
      </c>
      <c r="AD43" s="283">
        <f t="shared" ref="AD43:AD48" si="117">AD45+AD46+AD47+AD48</f>
        <v>0</v>
      </c>
      <c r="AE43" s="282">
        <f t="shared" si="75"/>
        <v>0</v>
      </c>
      <c r="AF43" s="283"/>
      <c r="AG43" s="283"/>
      <c r="AH43" s="282">
        <f t="shared" si="76"/>
        <v>0</v>
      </c>
      <c r="AI43" s="283"/>
      <c r="AJ43" s="283"/>
      <c r="AK43" s="282">
        <f t="shared" ref="AK43:AK48" si="118">AN43+AQ43</f>
        <v>0</v>
      </c>
      <c r="AL43" s="298" t="e">
        <f t="shared" si="87"/>
        <v>#DIV/0!</v>
      </c>
      <c r="AM43" s="286">
        <v>0</v>
      </c>
      <c r="AN43" s="283">
        <v>0</v>
      </c>
      <c r="AO43" s="287" t="e">
        <f t="shared" si="77"/>
        <v>#DIV/0!</v>
      </c>
      <c r="AP43" s="286">
        <v>0</v>
      </c>
      <c r="AQ43" s="299">
        <v>0</v>
      </c>
      <c r="AR43" s="287" t="e">
        <f t="shared" si="57"/>
        <v>#DIV/0!</v>
      </c>
      <c r="AS43" s="287">
        <v>0</v>
      </c>
      <c r="AT43" s="282">
        <f t="shared" ref="AT43:AT48" si="119">AV43+AX43</f>
        <v>0</v>
      </c>
      <c r="AU43" s="259" t="e">
        <f t="shared" si="95"/>
        <v>#DIV/0!</v>
      </c>
      <c r="AV43" s="288">
        <v>0</v>
      </c>
      <c r="AW43" s="261" t="e">
        <f t="shared" si="96"/>
        <v>#DIV/0!</v>
      </c>
      <c r="AX43" s="161">
        <v>0</v>
      </c>
      <c r="AY43" s="289">
        <v>0</v>
      </c>
      <c r="AZ43" s="152">
        <f t="shared" ref="AZ43:AZ48" si="120">BB43+BD43</f>
        <v>0</v>
      </c>
      <c r="BA43" s="262" t="e">
        <f t="shared" si="97"/>
        <v>#DIV/0!</v>
      </c>
      <c r="BB43" s="176">
        <f>R43-AV43</f>
        <v>0</v>
      </c>
      <c r="BC43" s="262" t="e">
        <f t="shared" si="98"/>
        <v>#DIV/0!</v>
      </c>
      <c r="BD43" s="152">
        <f>G43-AX43</f>
        <v>0</v>
      </c>
      <c r="BE43" s="165">
        <v>0</v>
      </c>
      <c r="BF43" s="152">
        <f t="shared" si="78"/>
        <v>0</v>
      </c>
      <c r="BG43" s="262" t="e">
        <f t="shared" si="88"/>
        <v>#DIV/0!</v>
      </c>
      <c r="BH43" s="288">
        <v>0</v>
      </c>
      <c r="BI43" s="262" t="e">
        <f t="shared" si="89"/>
        <v>#DIV/0!</v>
      </c>
      <c r="BJ43" s="288">
        <v>0</v>
      </c>
      <c r="BK43" s="262">
        <v>0</v>
      </c>
      <c r="BL43" s="260">
        <f t="shared" si="79"/>
        <v>0</v>
      </c>
      <c r="BM43" s="262" t="e">
        <f t="shared" si="90"/>
        <v>#DIV/0!</v>
      </c>
      <c r="BN43" s="260">
        <f t="shared" si="110"/>
        <v>0</v>
      </c>
      <c r="BO43" s="262" t="e">
        <f t="shared" si="91"/>
        <v>#DIV/0!</v>
      </c>
      <c r="BP43" s="288">
        <v>0</v>
      </c>
      <c r="BQ43" s="262">
        <v>0</v>
      </c>
      <c r="BR43" s="152">
        <f t="shared" si="80"/>
        <v>0</v>
      </c>
      <c r="BS43" s="263">
        <v>0</v>
      </c>
      <c r="BT43" s="176">
        <f t="shared" si="114"/>
        <v>0</v>
      </c>
      <c r="BU43" s="263">
        <v>0</v>
      </c>
      <c r="BV43" s="288">
        <v>0</v>
      </c>
      <c r="BW43" s="263">
        <v>0</v>
      </c>
      <c r="BX43" s="1219"/>
      <c r="BY43" s="290" t="e">
        <f t="shared" si="115"/>
        <v>#DIV/0!</v>
      </c>
      <c r="BZ43" s="152" t="e">
        <f t="shared" si="82"/>
        <v>#REF!</v>
      </c>
      <c r="CA43" s="290" t="e">
        <f t="shared" si="83"/>
        <v>#REF!</v>
      </c>
      <c r="CB43" s="152" t="e">
        <f>#REF!-#REF!</f>
        <v>#REF!</v>
      </c>
      <c r="CC43" s="290" t="e">
        <f t="shared" si="84"/>
        <v>#REF!</v>
      </c>
      <c r="CD43" s="288">
        <f t="shared" ref="CD43:CD48" si="121">CD45+CD46+CD47+CD48</f>
        <v>0</v>
      </c>
      <c r="CE43" s="290" t="e">
        <f t="shared" si="68"/>
        <v>#DIV/0!</v>
      </c>
      <c r="CF43" s="152">
        <f t="shared" si="92"/>
        <v>0</v>
      </c>
      <c r="CG43" s="300"/>
      <c r="CH43" s="152">
        <f t="shared" si="85"/>
        <v>0</v>
      </c>
      <c r="CI43" s="300"/>
      <c r="CJ43" s="152">
        <f t="shared" si="86"/>
        <v>0</v>
      </c>
      <c r="CK43" s="301"/>
    </row>
    <row r="44" spans="2:89" s="42" customFormat="1" ht="21.75" hidden="1" customHeight="1">
      <c r="B44" s="247"/>
      <c r="C44" s="270" t="s">
        <v>82</v>
      </c>
      <c r="D44" s="274"/>
      <c r="E44" s="249">
        <f t="shared" si="69"/>
        <v>149017.70360000001</v>
      </c>
      <c r="F44" s="250">
        <v>149017.70360000001</v>
      </c>
      <c r="G44" s="250"/>
      <c r="H44" s="249">
        <f t="shared" si="70"/>
        <v>-149017.70360000001</v>
      </c>
      <c r="I44" s="249">
        <f>L44-F44</f>
        <v>-149017.70360000001</v>
      </c>
      <c r="J44" s="249"/>
      <c r="K44" s="251">
        <f t="shared" si="71"/>
        <v>0</v>
      </c>
      <c r="L44" s="252">
        <v>0</v>
      </c>
      <c r="M44" s="252">
        <v>0</v>
      </c>
      <c r="N44" s="251">
        <f t="shared" si="72"/>
        <v>0</v>
      </c>
      <c r="O44" s="252"/>
      <c r="P44" s="251"/>
      <c r="Q44" s="249">
        <f t="shared" si="73"/>
        <v>0</v>
      </c>
      <c r="R44" s="249">
        <f t="shared" si="116"/>
        <v>0</v>
      </c>
      <c r="S44" s="250"/>
      <c r="T44" s="251">
        <f t="shared" ref="T44:T48" si="122">V44+X44</f>
        <v>71676.302779999998</v>
      </c>
      <c r="U44" s="253" t="e">
        <f t="shared" si="47"/>
        <v>#DIV/0!</v>
      </c>
      <c r="V44" s="251">
        <v>71676.302779999998</v>
      </c>
      <c r="W44" s="253" t="e">
        <f t="shared" si="48"/>
        <v>#DIV/0!</v>
      </c>
      <c r="X44" s="252"/>
      <c r="Y44" s="253" t="e">
        <f t="shared" si="49"/>
        <v>#DIV/0!</v>
      </c>
      <c r="Z44" s="251">
        <f t="shared" si="74"/>
        <v>-71676.302779999998</v>
      </c>
      <c r="AA44" s="253" t="e">
        <f t="shared" si="51"/>
        <v>#DIV/0!</v>
      </c>
      <c r="AB44" s="251">
        <f t="shared" si="101"/>
        <v>-71676.302779999998</v>
      </c>
      <c r="AC44" s="254" t="e">
        <f t="shared" si="52"/>
        <v>#DIV/0!</v>
      </c>
      <c r="AD44" s="252">
        <f t="shared" si="117"/>
        <v>0</v>
      </c>
      <c r="AE44" s="251">
        <f t="shared" si="75"/>
        <v>0</v>
      </c>
      <c r="AF44" s="252"/>
      <c r="AG44" s="252"/>
      <c r="AH44" s="251">
        <f t="shared" si="76"/>
        <v>5719.4563600000001</v>
      </c>
      <c r="AI44" s="252">
        <v>5719.4563600000001</v>
      </c>
      <c r="AJ44" s="252"/>
      <c r="AK44" s="251">
        <f t="shared" si="118"/>
        <v>0</v>
      </c>
      <c r="AL44" s="255">
        <f t="shared" si="87"/>
        <v>0</v>
      </c>
      <c r="AM44" s="256">
        <v>0</v>
      </c>
      <c r="AN44" s="252">
        <v>0</v>
      </c>
      <c r="AO44" s="257">
        <f t="shared" si="77"/>
        <v>0</v>
      </c>
      <c r="AP44" s="256">
        <v>0</v>
      </c>
      <c r="AQ44" s="252">
        <v>0</v>
      </c>
      <c r="AR44" s="258" t="e">
        <f t="shared" si="57"/>
        <v>#DIV/0!</v>
      </c>
      <c r="AS44" s="258">
        <v>0</v>
      </c>
      <c r="AT44" s="251">
        <f t="shared" si="119"/>
        <v>0</v>
      </c>
      <c r="AU44" s="259" t="e">
        <f t="shared" si="95"/>
        <v>#DIV/0!</v>
      </c>
      <c r="AV44" s="260">
        <v>0</v>
      </c>
      <c r="AW44" s="261" t="e">
        <f t="shared" si="96"/>
        <v>#DIV/0!</v>
      </c>
      <c r="AX44" s="176">
        <v>0</v>
      </c>
      <c r="AY44" s="261">
        <v>0</v>
      </c>
      <c r="AZ44" s="176">
        <f t="shared" si="120"/>
        <v>0</v>
      </c>
      <c r="BA44" s="262" t="e">
        <f t="shared" si="97"/>
        <v>#DIV/0!</v>
      </c>
      <c r="BB44" s="176">
        <f>R44-AV44</f>
        <v>0</v>
      </c>
      <c r="BC44" s="262" t="e">
        <f t="shared" si="98"/>
        <v>#DIV/0!</v>
      </c>
      <c r="BD44" s="176">
        <f>G44-AX44</f>
        <v>0</v>
      </c>
      <c r="BE44" s="262">
        <v>0</v>
      </c>
      <c r="BF44" s="176">
        <f t="shared" si="78"/>
        <v>0</v>
      </c>
      <c r="BG44" s="262" t="e">
        <f t="shared" si="88"/>
        <v>#DIV/0!</v>
      </c>
      <c r="BH44" s="260">
        <v>0</v>
      </c>
      <c r="BI44" s="262" t="e">
        <f t="shared" si="89"/>
        <v>#DIV/0!</v>
      </c>
      <c r="BJ44" s="260">
        <v>0</v>
      </c>
      <c r="BK44" s="262">
        <v>0</v>
      </c>
      <c r="BL44" s="260">
        <f t="shared" si="79"/>
        <v>0</v>
      </c>
      <c r="BM44" s="262" t="e">
        <f t="shared" si="90"/>
        <v>#DIV/0!</v>
      </c>
      <c r="BN44" s="260">
        <f t="shared" si="110"/>
        <v>0</v>
      </c>
      <c r="BO44" s="262" t="e">
        <f t="shared" si="91"/>
        <v>#DIV/0!</v>
      </c>
      <c r="BP44" s="260">
        <v>0</v>
      </c>
      <c r="BQ44" s="262">
        <v>0</v>
      </c>
      <c r="BR44" s="176">
        <f t="shared" si="80"/>
        <v>0</v>
      </c>
      <c r="BS44" s="263">
        <v>0</v>
      </c>
      <c r="BT44" s="176">
        <f t="shared" si="114"/>
        <v>0</v>
      </c>
      <c r="BU44" s="263">
        <v>0</v>
      </c>
      <c r="BV44" s="260">
        <v>0</v>
      </c>
      <c r="BW44" s="263">
        <v>0</v>
      </c>
      <c r="BX44" s="1219"/>
      <c r="BY44" s="265" t="e">
        <f t="shared" si="115"/>
        <v>#DIV/0!</v>
      </c>
      <c r="BZ44" s="176" t="e">
        <f t="shared" si="82"/>
        <v>#REF!</v>
      </c>
      <c r="CA44" s="265" t="e">
        <f t="shared" si="83"/>
        <v>#REF!</v>
      </c>
      <c r="CB44" s="176" t="e">
        <f>#REF!-#REF!</f>
        <v>#REF!</v>
      </c>
      <c r="CC44" s="265" t="e">
        <f t="shared" si="84"/>
        <v>#REF!</v>
      </c>
      <c r="CD44" s="260">
        <f t="shared" si="121"/>
        <v>0</v>
      </c>
      <c r="CE44" s="265" t="e">
        <f t="shared" si="68"/>
        <v>#DIV/0!</v>
      </c>
      <c r="CF44" s="176">
        <f t="shared" si="92"/>
        <v>0</v>
      </c>
      <c r="CG44" s="272"/>
      <c r="CH44" s="176">
        <f t="shared" si="85"/>
        <v>0</v>
      </c>
      <c r="CI44" s="272"/>
      <c r="CJ44" s="176">
        <f t="shared" si="86"/>
        <v>0</v>
      </c>
      <c r="CK44" s="273"/>
    </row>
    <row r="45" spans="2:89" s="42" customFormat="1" ht="21.75" hidden="1" customHeight="1">
      <c r="B45" s="247"/>
      <c r="C45" s="270" t="s">
        <v>83</v>
      </c>
      <c r="D45" s="274"/>
      <c r="E45" s="249">
        <f t="shared" si="69"/>
        <v>18136.12025</v>
      </c>
      <c r="F45" s="250">
        <v>18136.12025</v>
      </c>
      <c r="G45" s="250"/>
      <c r="H45" s="249">
        <f t="shared" si="70"/>
        <v>-18117.600450000002</v>
      </c>
      <c r="I45" s="249">
        <f>L45-F45</f>
        <v>-18117.600450000002</v>
      </c>
      <c r="J45" s="249"/>
      <c r="K45" s="251">
        <f t="shared" si="71"/>
        <v>18.5198</v>
      </c>
      <c r="L45" s="252">
        <v>18.5198</v>
      </c>
      <c r="M45" s="252">
        <v>0</v>
      </c>
      <c r="N45" s="251">
        <f t="shared" si="72"/>
        <v>0</v>
      </c>
      <c r="O45" s="252"/>
      <c r="P45" s="251"/>
      <c r="Q45" s="249">
        <f t="shared" si="73"/>
        <v>1903.68568</v>
      </c>
      <c r="R45" s="249">
        <f>3203.68568-1300</f>
        <v>1903.68568</v>
      </c>
      <c r="S45" s="250"/>
      <c r="T45" s="251">
        <f t="shared" si="122"/>
        <v>1475.81113</v>
      </c>
      <c r="U45" s="253">
        <f t="shared" si="47"/>
        <v>0.77523886716424739</v>
      </c>
      <c r="V45" s="251">
        <v>1475.81113</v>
      </c>
      <c r="W45" s="253">
        <f t="shared" si="48"/>
        <v>0.77523886716424739</v>
      </c>
      <c r="X45" s="252"/>
      <c r="Y45" s="253" t="e">
        <f t="shared" si="49"/>
        <v>#DIV/0!</v>
      </c>
      <c r="Z45" s="251">
        <f t="shared" si="74"/>
        <v>-1457.29133</v>
      </c>
      <c r="AA45" s="253">
        <f t="shared" si="51"/>
        <v>-0.76551047544781659</v>
      </c>
      <c r="AB45" s="251">
        <f t="shared" si="101"/>
        <v>-1457.29133</v>
      </c>
      <c r="AC45" s="253">
        <f t="shared" si="52"/>
        <v>-0.76551047544781659</v>
      </c>
      <c r="AD45" s="252">
        <f t="shared" si="117"/>
        <v>0</v>
      </c>
      <c r="AE45" s="251">
        <f t="shared" si="75"/>
        <v>0</v>
      </c>
      <c r="AF45" s="252"/>
      <c r="AG45" s="252"/>
      <c r="AH45" s="251">
        <f t="shared" si="76"/>
        <v>89.062179999999898</v>
      </c>
      <c r="AI45" s="252">
        <f>2563.08234-AI46-AI47-AI48</f>
        <v>89.062179999999898</v>
      </c>
      <c r="AJ45" s="252"/>
      <c r="AK45" s="251">
        <f t="shared" si="118"/>
        <v>0</v>
      </c>
      <c r="AL45" s="255">
        <f t="shared" si="87"/>
        <v>0</v>
      </c>
      <c r="AM45" s="256">
        <f t="shared" si="93"/>
        <v>0</v>
      </c>
      <c r="AN45" s="252">
        <v>0</v>
      </c>
      <c r="AO45" s="257">
        <f t="shared" si="77"/>
        <v>0</v>
      </c>
      <c r="AP45" s="256">
        <f t="shared" si="94"/>
        <v>0</v>
      </c>
      <c r="AQ45" s="252">
        <v>0</v>
      </c>
      <c r="AR45" s="257" t="e">
        <f t="shared" si="57"/>
        <v>#DIV/0!</v>
      </c>
      <c r="AS45" s="257">
        <v>0</v>
      </c>
      <c r="AT45" s="251">
        <f t="shared" si="119"/>
        <v>18.5198</v>
      </c>
      <c r="AU45" s="259">
        <f t="shared" si="95"/>
        <v>1</v>
      </c>
      <c r="AV45" s="176">
        <v>18.5198</v>
      </c>
      <c r="AW45" s="261">
        <f t="shared" si="96"/>
        <v>1</v>
      </c>
      <c r="AX45" s="176">
        <v>0</v>
      </c>
      <c r="AY45" s="261">
        <v>0</v>
      </c>
      <c r="AZ45" s="176">
        <f t="shared" si="120"/>
        <v>0</v>
      </c>
      <c r="BA45" s="262">
        <f t="shared" si="97"/>
        <v>0</v>
      </c>
      <c r="BB45" s="176">
        <f>L45-AV45</f>
        <v>0</v>
      </c>
      <c r="BC45" s="262">
        <f t="shared" si="98"/>
        <v>0</v>
      </c>
      <c r="BD45" s="176">
        <f>G45-AX45</f>
        <v>0</v>
      </c>
      <c r="BE45" s="262">
        <v>0</v>
      </c>
      <c r="BF45" s="176">
        <f t="shared" si="78"/>
        <v>18.5198</v>
      </c>
      <c r="BG45" s="262">
        <f t="shared" si="88"/>
        <v>1</v>
      </c>
      <c r="BH45" s="260">
        <f>'[1]тыс. руб 1 знак'!$AV$42</f>
        <v>18.5198</v>
      </c>
      <c r="BI45" s="262">
        <f t="shared" si="89"/>
        <v>1</v>
      </c>
      <c r="BJ45" s="260">
        <v>0</v>
      </c>
      <c r="BK45" s="262">
        <v>0</v>
      </c>
      <c r="BL45" s="260">
        <f t="shared" si="79"/>
        <v>0</v>
      </c>
      <c r="BM45" s="262">
        <f t="shared" si="90"/>
        <v>0</v>
      </c>
      <c r="BN45" s="260">
        <f t="shared" si="110"/>
        <v>0</v>
      </c>
      <c r="BO45" s="262">
        <f t="shared" si="91"/>
        <v>0</v>
      </c>
      <c r="BP45" s="260">
        <v>0</v>
      </c>
      <c r="BQ45" s="262">
        <v>0</v>
      </c>
      <c r="BR45" s="176">
        <f t="shared" si="80"/>
        <v>0</v>
      </c>
      <c r="BS45" s="263">
        <v>0</v>
      </c>
      <c r="BT45" s="176">
        <f t="shared" si="114"/>
        <v>0</v>
      </c>
      <c r="BU45" s="263">
        <f t="shared" si="105"/>
        <v>0</v>
      </c>
      <c r="BV45" s="260">
        <v>0</v>
      </c>
      <c r="BW45" s="263">
        <v>0</v>
      </c>
      <c r="BX45" s="1219"/>
      <c r="BY45" s="271" t="e">
        <f t="shared" si="115"/>
        <v>#DIV/0!</v>
      </c>
      <c r="BZ45" s="176" t="e">
        <f t="shared" si="82"/>
        <v>#REF!</v>
      </c>
      <c r="CA45" s="271" t="e">
        <f t="shared" si="83"/>
        <v>#REF!</v>
      </c>
      <c r="CB45" s="176" t="e">
        <f>#REF!-#REF!</f>
        <v>#REF!</v>
      </c>
      <c r="CC45" s="271" t="e">
        <f t="shared" si="84"/>
        <v>#REF!</v>
      </c>
      <c r="CD45" s="260">
        <f t="shared" si="121"/>
        <v>0</v>
      </c>
      <c r="CE45" s="271" t="e">
        <f t="shared" si="68"/>
        <v>#DIV/0!</v>
      </c>
      <c r="CF45" s="176">
        <f t="shared" si="92"/>
        <v>0</v>
      </c>
      <c r="CG45" s="272"/>
      <c r="CH45" s="176">
        <f t="shared" si="85"/>
        <v>0</v>
      </c>
      <c r="CI45" s="272"/>
      <c r="CJ45" s="176">
        <f t="shared" si="86"/>
        <v>0</v>
      </c>
      <c r="CK45" s="273"/>
    </row>
    <row r="46" spans="2:89" s="42" customFormat="1" ht="21.75" hidden="1" customHeight="1">
      <c r="B46" s="247"/>
      <c r="C46" s="270" t="s">
        <v>92</v>
      </c>
      <c r="D46" s="274"/>
      <c r="E46" s="249">
        <f t="shared" si="69"/>
        <v>4660.76</v>
      </c>
      <c r="F46" s="250">
        <v>4660.76</v>
      </c>
      <c r="G46" s="250"/>
      <c r="H46" s="249">
        <f t="shared" si="70"/>
        <v>-4660.76</v>
      </c>
      <c r="I46" s="249">
        <f>L46-F46</f>
        <v>-4660.76</v>
      </c>
      <c r="J46" s="249"/>
      <c r="K46" s="251">
        <f t="shared" si="71"/>
        <v>0</v>
      </c>
      <c r="L46" s="252">
        <v>0</v>
      </c>
      <c r="M46" s="252">
        <v>0</v>
      </c>
      <c r="N46" s="251">
        <f t="shared" si="72"/>
        <v>0</v>
      </c>
      <c r="O46" s="252"/>
      <c r="P46" s="251"/>
      <c r="Q46" s="249">
        <f t="shared" si="73"/>
        <v>1300</v>
      </c>
      <c r="R46" s="249">
        <v>1300</v>
      </c>
      <c r="S46" s="250"/>
      <c r="T46" s="251">
        <f t="shared" si="122"/>
        <v>1250</v>
      </c>
      <c r="U46" s="253">
        <f t="shared" si="47"/>
        <v>0.96153846153846156</v>
      </c>
      <c r="V46" s="251">
        <v>1250</v>
      </c>
      <c r="W46" s="253">
        <f t="shared" si="48"/>
        <v>0.96153846153846156</v>
      </c>
      <c r="X46" s="252"/>
      <c r="Y46" s="253" t="e">
        <f t="shared" si="49"/>
        <v>#DIV/0!</v>
      </c>
      <c r="Z46" s="251">
        <f t="shared" si="74"/>
        <v>-1250</v>
      </c>
      <c r="AA46" s="253">
        <f t="shared" si="51"/>
        <v>-0.96153846153846156</v>
      </c>
      <c r="AB46" s="251">
        <f t="shared" si="101"/>
        <v>-1250</v>
      </c>
      <c r="AC46" s="253">
        <f t="shared" si="52"/>
        <v>-0.96153846153846156</v>
      </c>
      <c r="AD46" s="252">
        <f t="shared" si="117"/>
        <v>0</v>
      </c>
      <c r="AE46" s="251">
        <f t="shared" si="75"/>
        <v>0</v>
      </c>
      <c r="AF46" s="252"/>
      <c r="AG46" s="252"/>
      <c r="AH46" s="251">
        <f t="shared" si="76"/>
        <v>1250</v>
      </c>
      <c r="AI46" s="252">
        <v>1250</v>
      </c>
      <c r="AJ46" s="252"/>
      <c r="AK46" s="251">
        <f t="shared" si="118"/>
        <v>0</v>
      </c>
      <c r="AL46" s="255">
        <f t="shared" si="87"/>
        <v>0</v>
      </c>
      <c r="AM46" s="256">
        <f t="shared" si="93"/>
        <v>0</v>
      </c>
      <c r="AN46" s="252">
        <v>0</v>
      </c>
      <c r="AO46" s="257">
        <f t="shared" si="77"/>
        <v>0</v>
      </c>
      <c r="AP46" s="256">
        <f t="shared" si="94"/>
        <v>0</v>
      </c>
      <c r="AQ46" s="252">
        <v>0</v>
      </c>
      <c r="AR46" s="257" t="e">
        <f t="shared" si="57"/>
        <v>#DIV/0!</v>
      </c>
      <c r="AS46" s="257">
        <v>0</v>
      </c>
      <c r="AT46" s="251">
        <f t="shared" si="119"/>
        <v>0</v>
      </c>
      <c r="AU46" s="259" t="e">
        <f t="shared" si="95"/>
        <v>#DIV/0!</v>
      </c>
      <c r="AV46" s="176">
        <v>0</v>
      </c>
      <c r="AW46" s="261" t="e">
        <f t="shared" si="96"/>
        <v>#DIV/0!</v>
      </c>
      <c r="AX46" s="176">
        <v>0</v>
      </c>
      <c r="AY46" s="261">
        <v>0</v>
      </c>
      <c r="AZ46" s="176">
        <f t="shared" si="120"/>
        <v>0</v>
      </c>
      <c r="BA46" s="262" t="e">
        <f t="shared" si="97"/>
        <v>#DIV/0!</v>
      </c>
      <c r="BB46" s="176">
        <f>L46-AV46</f>
        <v>0</v>
      </c>
      <c r="BC46" s="262" t="e">
        <f t="shared" si="98"/>
        <v>#DIV/0!</v>
      </c>
      <c r="BD46" s="176">
        <f>G46-AX46</f>
        <v>0</v>
      </c>
      <c r="BE46" s="262">
        <v>0</v>
      </c>
      <c r="BF46" s="176">
        <f t="shared" si="78"/>
        <v>0</v>
      </c>
      <c r="BG46" s="262" t="e">
        <f t="shared" si="88"/>
        <v>#DIV/0!</v>
      </c>
      <c r="BH46" s="260">
        <v>0</v>
      </c>
      <c r="BI46" s="262" t="e">
        <f t="shared" si="89"/>
        <v>#DIV/0!</v>
      </c>
      <c r="BJ46" s="260">
        <v>0</v>
      </c>
      <c r="BK46" s="262">
        <v>0</v>
      </c>
      <c r="BL46" s="260">
        <f t="shared" si="79"/>
        <v>0</v>
      </c>
      <c r="BM46" s="262" t="e">
        <f t="shared" si="90"/>
        <v>#DIV/0!</v>
      </c>
      <c r="BN46" s="260">
        <f t="shared" si="110"/>
        <v>0</v>
      </c>
      <c r="BO46" s="262" t="e">
        <f t="shared" si="91"/>
        <v>#DIV/0!</v>
      </c>
      <c r="BP46" s="260">
        <v>0</v>
      </c>
      <c r="BQ46" s="262">
        <v>0</v>
      </c>
      <c r="BR46" s="176">
        <f t="shared" si="80"/>
        <v>0</v>
      </c>
      <c r="BS46" s="263">
        <v>0</v>
      </c>
      <c r="BT46" s="176">
        <f t="shared" si="114"/>
        <v>0</v>
      </c>
      <c r="BU46" s="263">
        <v>0</v>
      </c>
      <c r="BV46" s="260">
        <v>0</v>
      </c>
      <c r="BW46" s="263">
        <v>0</v>
      </c>
      <c r="BX46" s="1219"/>
      <c r="BY46" s="271" t="e">
        <f t="shared" si="115"/>
        <v>#DIV/0!</v>
      </c>
      <c r="BZ46" s="176" t="e">
        <f t="shared" si="82"/>
        <v>#REF!</v>
      </c>
      <c r="CA46" s="271" t="e">
        <f t="shared" si="83"/>
        <v>#REF!</v>
      </c>
      <c r="CB46" s="176" t="e">
        <f>#REF!-#REF!</f>
        <v>#REF!</v>
      </c>
      <c r="CC46" s="271" t="e">
        <f t="shared" si="84"/>
        <v>#REF!</v>
      </c>
      <c r="CD46" s="260">
        <f t="shared" si="121"/>
        <v>0</v>
      </c>
      <c r="CE46" s="271" t="e">
        <f t="shared" si="68"/>
        <v>#DIV/0!</v>
      </c>
      <c r="CF46" s="176">
        <f t="shared" si="92"/>
        <v>0</v>
      </c>
      <c r="CG46" s="272"/>
      <c r="CH46" s="176">
        <f t="shared" si="85"/>
        <v>0</v>
      </c>
      <c r="CI46" s="272"/>
      <c r="CJ46" s="176">
        <f t="shared" si="86"/>
        <v>0</v>
      </c>
      <c r="CK46" s="273"/>
    </row>
    <row r="47" spans="2:89" s="42" customFormat="1" ht="21.75" hidden="1" customHeight="1">
      <c r="B47" s="247"/>
      <c r="C47" s="270" t="s">
        <v>102</v>
      </c>
      <c r="D47" s="274"/>
      <c r="E47" s="249"/>
      <c r="F47" s="250"/>
      <c r="G47" s="250"/>
      <c r="H47" s="249"/>
      <c r="I47" s="249"/>
      <c r="J47" s="249"/>
      <c r="K47" s="251">
        <f t="shared" si="71"/>
        <v>1.7767200000000001</v>
      </c>
      <c r="L47" s="252">
        <v>1.7767200000000001</v>
      </c>
      <c r="M47" s="252">
        <v>0</v>
      </c>
      <c r="N47" s="251">
        <f t="shared" si="72"/>
        <v>0</v>
      </c>
      <c r="O47" s="251"/>
      <c r="P47" s="251"/>
      <c r="Q47" s="249">
        <f t="shared" si="73"/>
        <v>1.7767200000000001</v>
      </c>
      <c r="R47" s="249">
        <f t="shared" si="116"/>
        <v>1.7767200000000001</v>
      </c>
      <c r="S47" s="250"/>
      <c r="T47" s="251">
        <f t="shared" si="122"/>
        <v>12.459720000000001</v>
      </c>
      <c r="U47" s="253">
        <f t="shared" si="47"/>
        <v>7.0127650952316634</v>
      </c>
      <c r="V47" s="251">
        <v>12.459720000000001</v>
      </c>
      <c r="W47" s="253">
        <f t="shared" si="48"/>
        <v>7.0127650952316634</v>
      </c>
      <c r="X47" s="252"/>
      <c r="Y47" s="253" t="e">
        <f t="shared" si="49"/>
        <v>#DIV/0!</v>
      </c>
      <c r="Z47" s="251">
        <f t="shared" si="74"/>
        <v>-10.683</v>
      </c>
      <c r="AA47" s="253">
        <f t="shared" si="51"/>
        <v>-6.0127650952316625</v>
      </c>
      <c r="AB47" s="251">
        <f t="shared" si="101"/>
        <v>-10.683</v>
      </c>
      <c r="AC47" s="253">
        <f t="shared" si="52"/>
        <v>-6.0127650952316625</v>
      </c>
      <c r="AD47" s="252">
        <f t="shared" si="117"/>
        <v>0</v>
      </c>
      <c r="AE47" s="251"/>
      <c r="AF47" s="252"/>
      <c r="AG47" s="252"/>
      <c r="AH47" s="251">
        <f t="shared" si="76"/>
        <v>2.0160000000000001E-2</v>
      </c>
      <c r="AI47" s="252">
        <v>2.0160000000000001E-2</v>
      </c>
      <c r="AJ47" s="252"/>
      <c r="AK47" s="251">
        <f t="shared" si="118"/>
        <v>1.7767200000000001</v>
      </c>
      <c r="AL47" s="255">
        <f t="shared" si="87"/>
        <v>88.13095238095238</v>
      </c>
      <c r="AM47" s="256">
        <f t="shared" si="93"/>
        <v>1</v>
      </c>
      <c r="AN47" s="252">
        <v>1.7767200000000001</v>
      </c>
      <c r="AO47" s="257">
        <f t="shared" si="77"/>
        <v>88.13095238095238</v>
      </c>
      <c r="AP47" s="256">
        <f t="shared" si="94"/>
        <v>1</v>
      </c>
      <c r="AQ47" s="252">
        <v>0</v>
      </c>
      <c r="AR47" s="257" t="e">
        <f t="shared" si="57"/>
        <v>#DIV/0!</v>
      </c>
      <c r="AS47" s="257">
        <v>0</v>
      </c>
      <c r="AT47" s="251">
        <f t="shared" si="119"/>
        <v>1.7767200000000001</v>
      </c>
      <c r="AU47" s="259">
        <f t="shared" si="95"/>
        <v>1</v>
      </c>
      <c r="AV47" s="176">
        <f>L47</f>
        <v>1.7767200000000001</v>
      </c>
      <c r="AW47" s="261">
        <f t="shared" si="96"/>
        <v>1</v>
      </c>
      <c r="AX47" s="176">
        <v>0</v>
      </c>
      <c r="AY47" s="261">
        <v>0</v>
      </c>
      <c r="AZ47" s="176">
        <f t="shared" si="120"/>
        <v>0</v>
      </c>
      <c r="BA47" s="262">
        <f t="shared" si="97"/>
        <v>0</v>
      </c>
      <c r="BB47" s="176">
        <f>L47-AV47</f>
        <v>0</v>
      </c>
      <c r="BC47" s="262">
        <f t="shared" si="98"/>
        <v>0</v>
      </c>
      <c r="BD47" s="176">
        <v>0</v>
      </c>
      <c r="BE47" s="262">
        <v>0</v>
      </c>
      <c r="BF47" s="176">
        <f t="shared" si="78"/>
        <v>1.7767200000000001</v>
      </c>
      <c r="BG47" s="262">
        <f t="shared" si="88"/>
        <v>1</v>
      </c>
      <c r="BH47" s="252">
        <f>'[1]тыс. руб 1 знак'!$AV$44</f>
        <v>1.7767200000000001</v>
      </c>
      <c r="BI47" s="262">
        <f t="shared" si="89"/>
        <v>1</v>
      </c>
      <c r="BJ47" s="260">
        <v>0</v>
      </c>
      <c r="BK47" s="262">
        <v>0</v>
      </c>
      <c r="BL47" s="260">
        <v>0</v>
      </c>
      <c r="BM47" s="262">
        <f t="shared" si="90"/>
        <v>0</v>
      </c>
      <c r="BN47" s="260">
        <f t="shared" si="110"/>
        <v>0</v>
      </c>
      <c r="BO47" s="262">
        <f t="shared" si="91"/>
        <v>0</v>
      </c>
      <c r="BP47" s="260">
        <v>0</v>
      </c>
      <c r="BQ47" s="262">
        <v>0</v>
      </c>
      <c r="BR47" s="176">
        <v>0</v>
      </c>
      <c r="BS47" s="263">
        <f t="shared" si="99"/>
        <v>0</v>
      </c>
      <c r="BT47" s="176">
        <f t="shared" si="114"/>
        <v>0</v>
      </c>
      <c r="BU47" s="263">
        <f t="shared" si="105"/>
        <v>0</v>
      </c>
      <c r="BV47" s="260">
        <v>0</v>
      </c>
      <c r="BW47" s="263">
        <v>0</v>
      </c>
      <c r="BX47" s="1219"/>
      <c r="BY47" s="271" t="e">
        <f t="shared" si="115"/>
        <v>#DIV/0!</v>
      </c>
      <c r="BZ47" s="176" t="e">
        <f t="shared" si="82"/>
        <v>#REF!</v>
      </c>
      <c r="CA47" s="271" t="e">
        <f t="shared" si="83"/>
        <v>#REF!</v>
      </c>
      <c r="CB47" s="176" t="e">
        <f>#REF!-#REF!</f>
        <v>#REF!</v>
      </c>
      <c r="CC47" s="271" t="e">
        <f t="shared" si="84"/>
        <v>#REF!</v>
      </c>
      <c r="CD47" s="260">
        <f t="shared" si="121"/>
        <v>0</v>
      </c>
      <c r="CE47" s="271" t="e">
        <f t="shared" si="68"/>
        <v>#DIV/0!</v>
      </c>
      <c r="CF47" s="176"/>
      <c r="CG47" s="272"/>
      <c r="CH47" s="176"/>
      <c r="CI47" s="272"/>
      <c r="CJ47" s="176"/>
      <c r="CK47" s="273"/>
    </row>
    <row r="48" spans="2:89" s="42" customFormat="1" ht="45" hidden="1" customHeight="1">
      <c r="B48" s="247"/>
      <c r="C48" s="270" t="s">
        <v>103</v>
      </c>
      <c r="D48" s="274"/>
      <c r="E48" s="249">
        <f t="shared" ref="E48:E54" si="123">F48+G48</f>
        <v>0</v>
      </c>
      <c r="F48" s="249"/>
      <c r="G48" s="249"/>
      <c r="H48" s="249">
        <f t="shared" ref="H48:H54" si="124">I48+J48</f>
        <v>0</v>
      </c>
      <c r="I48" s="249">
        <f>L48-F48</f>
        <v>0</v>
      </c>
      <c r="J48" s="249"/>
      <c r="K48" s="251">
        <f t="shared" si="71"/>
        <v>0</v>
      </c>
      <c r="L48" s="251">
        <v>0</v>
      </c>
      <c r="M48" s="252">
        <v>0</v>
      </c>
      <c r="N48" s="251">
        <f t="shared" si="72"/>
        <v>0</v>
      </c>
      <c r="O48" s="251"/>
      <c r="P48" s="251"/>
      <c r="Q48" s="249">
        <f t="shared" si="73"/>
        <v>0</v>
      </c>
      <c r="R48" s="249">
        <f t="shared" si="116"/>
        <v>0</v>
      </c>
      <c r="S48" s="249"/>
      <c r="T48" s="251">
        <f t="shared" si="122"/>
        <v>0</v>
      </c>
      <c r="U48" s="253" t="e">
        <f t="shared" si="47"/>
        <v>#DIV/0!</v>
      </c>
      <c r="V48" s="251">
        <f>AV48</f>
        <v>0</v>
      </c>
      <c r="W48" s="253" t="e">
        <f t="shared" si="48"/>
        <v>#DIV/0!</v>
      </c>
      <c r="X48" s="251"/>
      <c r="Y48" s="253" t="e">
        <f t="shared" si="49"/>
        <v>#DIV/0!</v>
      </c>
      <c r="Z48" s="251">
        <f t="shared" si="74"/>
        <v>0</v>
      </c>
      <c r="AA48" s="253" t="e">
        <f t="shared" si="51"/>
        <v>#DIV/0!</v>
      </c>
      <c r="AB48" s="251">
        <f t="shared" si="101"/>
        <v>0</v>
      </c>
      <c r="AC48" s="253" t="e">
        <f t="shared" si="52"/>
        <v>#DIV/0!</v>
      </c>
      <c r="AD48" s="252">
        <f t="shared" si="117"/>
        <v>0</v>
      </c>
      <c r="AE48" s="251">
        <f t="shared" ref="AE48:AE54" si="125">AF48+AG48</f>
        <v>0</v>
      </c>
      <c r="AF48" s="251"/>
      <c r="AG48" s="251"/>
      <c r="AH48" s="251">
        <f t="shared" si="76"/>
        <v>1224</v>
      </c>
      <c r="AI48" s="251">
        <v>1224</v>
      </c>
      <c r="AJ48" s="251"/>
      <c r="AK48" s="251">
        <f t="shared" si="118"/>
        <v>0</v>
      </c>
      <c r="AL48" s="255">
        <f t="shared" si="87"/>
        <v>0</v>
      </c>
      <c r="AM48" s="256">
        <v>0</v>
      </c>
      <c r="AN48" s="252">
        <v>0</v>
      </c>
      <c r="AO48" s="257">
        <f t="shared" si="77"/>
        <v>0</v>
      </c>
      <c r="AP48" s="256">
        <v>0</v>
      </c>
      <c r="AQ48" s="252">
        <v>0</v>
      </c>
      <c r="AR48" s="257" t="e">
        <f t="shared" si="57"/>
        <v>#DIV/0!</v>
      </c>
      <c r="AS48" s="257">
        <v>0</v>
      </c>
      <c r="AT48" s="251">
        <f t="shared" si="119"/>
        <v>0</v>
      </c>
      <c r="AU48" s="259" t="e">
        <f t="shared" si="95"/>
        <v>#DIV/0!</v>
      </c>
      <c r="AV48" s="176">
        <f>L48</f>
        <v>0</v>
      </c>
      <c r="AW48" s="261" t="e">
        <f t="shared" si="96"/>
        <v>#DIV/0!</v>
      </c>
      <c r="AX48" s="176">
        <v>0</v>
      </c>
      <c r="AY48" s="261">
        <v>0</v>
      </c>
      <c r="AZ48" s="176">
        <f t="shared" si="120"/>
        <v>0</v>
      </c>
      <c r="BA48" s="262" t="e">
        <f t="shared" si="97"/>
        <v>#DIV/0!</v>
      </c>
      <c r="BB48" s="176">
        <f>L48-AV48</f>
        <v>0</v>
      </c>
      <c r="BC48" s="262" t="e">
        <f t="shared" si="98"/>
        <v>#DIV/0!</v>
      </c>
      <c r="BD48" s="176">
        <f>G48-AX48</f>
        <v>0</v>
      </c>
      <c r="BE48" s="262">
        <v>0</v>
      </c>
      <c r="BF48" s="176">
        <f t="shared" si="78"/>
        <v>0</v>
      </c>
      <c r="BG48" s="262" t="e">
        <f t="shared" si="88"/>
        <v>#DIV/0!</v>
      </c>
      <c r="BH48" s="176">
        <v>0</v>
      </c>
      <c r="BI48" s="262" t="e">
        <f t="shared" si="89"/>
        <v>#DIV/0!</v>
      </c>
      <c r="BJ48" s="260">
        <v>0</v>
      </c>
      <c r="BK48" s="262">
        <v>0</v>
      </c>
      <c r="BL48" s="260">
        <f t="shared" ref="BL48:BL61" si="126">BN48+BP48</f>
        <v>0</v>
      </c>
      <c r="BM48" s="262" t="e">
        <f t="shared" si="90"/>
        <v>#DIV/0!</v>
      </c>
      <c r="BN48" s="260">
        <f t="shared" si="110"/>
        <v>0</v>
      </c>
      <c r="BO48" s="262" t="e">
        <f t="shared" si="91"/>
        <v>#DIV/0!</v>
      </c>
      <c r="BP48" s="260">
        <v>0</v>
      </c>
      <c r="BQ48" s="262">
        <v>0</v>
      </c>
      <c r="BR48" s="176">
        <f t="shared" ref="BR48:BR56" si="127">BT48+BV48</f>
        <v>0</v>
      </c>
      <c r="BS48" s="263">
        <v>0</v>
      </c>
      <c r="BT48" s="176">
        <f t="shared" si="114"/>
        <v>0</v>
      </c>
      <c r="BU48" s="263">
        <v>0</v>
      </c>
      <c r="BV48" s="260">
        <v>0</v>
      </c>
      <c r="BW48" s="263">
        <v>0</v>
      </c>
      <c r="BX48" s="1220"/>
      <c r="BY48" s="271" t="e">
        <f t="shared" si="115"/>
        <v>#DIV/0!</v>
      </c>
      <c r="BZ48" s="176" t="e">
        <f t="shared" si="82"/>
        <v>#REF!</v>
      </c>
      <c r="CA48" s="271" t="e">
        <f t="shared" si="83"/>
        <v>#REF!</v>
      </c>
      <c r="CB48" s="176" t="e">
        <f>#REF!-#REF!</f>
        <v>#REF!</v>
      </c>
      <c r="CC48" s="271" t="e">
        <f t="shared" si="84"/>
        <v>#REF!</v>
      </c>
      <c r="CD48" s="260">
        <f t="shared" si="121"/>
        <v>0</v>
      </c>
      <c r="CE48" s="271" t="e">
        <f t="shared" si="68"/>
        <v>#DIV/0!</v>
      </c>
      <c r="CF48" s="176">
        <f t="shared" ref="CF48:CF54" si="128">CG48+CH48</f>
        <v>0</v>
      </c>
      <c r="CG48" s="272"/>
      <c r="CH48" s="176">
        <f t="shared" ref="CH48:CH54" si="129">CI48+CJ48</f>
        <v>0</v>
      </c>
      <c r="CI48" s="272"/>
      <c r="CJ48" s="176">
        <f t="shared" ref="CJ48:CJ54" si="130">CK48+CL48</f>
        <v>0</v>
      </c>
      <c r="CK48" s="273"/>
    </row>
    <row r="49" spans="2:89" s="269" customFormat="1" ht="73.5" customHeight="1">
      <c r="B49" s="275" t="s">
        <v>104</v>
      </c>
      <c r="C49" s="248" t="s">
        <v>105</v>
      </c>
      <c r="D49" s="274" t="s">
        <v>106</v>
      </c>
      <c r="E49" s="249">
        <f t="shared" si="123"/>
        <v>908655.04466999997</v>
      </c>
      <c r="F49" s="250">
        <f>F50+F51</f>
        <v>908655.04466999997</v>
      </c>
      <c r="G49" s="250">
        <f>G50+G51</f>
        <v>0</v>
      </c>
      <c r="H49" s="249">
        <f t="shared" si="124"/>
        <v>-460511.32611999998</v>
      </c>
      <c r="I49" s="250">
        <f>I50+I51</f>
        <v>-460511.32611999998</v>
      </c>
      <c r="J49" s="250"/>
      <c r="K49" s="251">
        <f t="shared" si="71"/>
        <v>448143.71855000005</v>
      </c>
      <c r="L49" s="252">
        <f>L50+L51</f>
        <v>448143.71855000005</v>
      </c>
      <c r="M49" s="252">
        <f>M50+M51</f>
        <v>0</v>
      </c>
      <c r="N49" s="251">
        <f t="shared" si="72"/>
        <v>-7102.9086499999994</v>
      </c>
      <c r="O49" s="252">
        <f>O50+O51</f>
        <v>-7102.9086499999994</v>
      </c>
      <c r="P49" s="252"/>
      <c r="Q49" s="249">
        <f t="shared" si="73"/>
        <v>441040.80990000005</v>
      </c>
      <c r="R49" s="250">
        <f>R50+R51</f>
        <v>441040.80990000005</v>
      </c>
      <c r="S49" s="250">
        <f>S50+S51</f>
        <v>0</v>
      </c>
      <c r="T49" s="252">
        <f>T50+T51</f>
        <v>60731.185669999999</v>
      </c>
      <c r="U49" s="253">
        <f t="shared" si="47"/>
        <v>0.13769969650602165</v>
      </c>
      <c r="V49" s="252">
        <f>V50+V51</f>
        <v>60731.185669999999</v>
      </c>
      <c r="W49" s="253">
        <f t="shared" si="48"/>
        <v>0.13769969650602165</v>
      </c>
      <c r="X49" s="252">
        <f>X50+X51</f>
        <v>0</v>
      </c>
      <c r="Y49" s="253">
        <v>0</v>
      </c>
      <c r="Z49" s="251">
        <f t="shared" si="74"/>
        <v>387412.53288000007</v>
      </c>
      <c r="AA49" s="253">
        <f t="shared" si="51"/>
        <v>0.87840518197814965</v>
      </c>
      <c r="AB49" s="251">
        <f t="shared" si="101"/>
        <v>387412.53288000007</v>
      </c>
      <c r="AC49" s="254">
        <f t="shared" si="52"/>
        <v>0.87840518197814965</v>
      </c>
      <c r="AD49" s="252">
        <f>AD50+AD51</f>
        <v>0</v>
      </c>
      <c r="AE49" s="251">
        <f t="shared" si="125"/>
        <v>0</v>
      </c>
      <c r="AF49" s="252">
        <f>AF50+AF51</f>
        <v>0</v>
      </c>
      <c r="AG49" s="252">
        <f>AG50+AG51</f>
        <v>0</v>
      </c>
      <c r="AH49" s="251">
        <f t="shared" si="76"/>
        <v>42428.029650000004</v>
      </c>
      <c r="AI49" s="252">
        <f>AI50+AI51</f>
        <v>42428.029650000004</v>
      </c>
      <c r="AJ49" s="252">
        <f>AJ50+AJ51</f>
        <v>0</v>
      </c>
      <c r="AK49" s="252">
        <f>AK50+AK51</f>
        <v>86031.316760000002</v>
      </c>
      <c r="AL49" s="255">
        <f t="shared" si="87"/>
        <v>2.0277000244813395</v>
      </c>
      <c r="AM49" s="256">
        <f t="shared" si="93"/>
        <v>0.19506429978556047</v>
      </c>
      <c r="AN49" s="252">
        <f>AN50+AN51</f>
        <v>86031.316760000002</v>
      </c>
      <c r="AO49" s="257">
        <f t="shared" si="77"/>
        <v>2.0277000244813395</v>
      </c>
      <c r="AP49" s="256">
        <f t="shared" si="94"/>
        <v>0.19506429978556047</v>
      </c>
      <c r="AQ49" s="252">
        <v>0</v>
      </c>
      <c r="AR49" s="258" t="e">
        <f t="shared" si="57"/>
        <v>#DIV/0!</v>
      </c>
      <c r="AS49" s="258">
        <v>0</v>
      </c>
      <c r="AT49" s="252">
        <f>AV49</f>
        <v>431100.11152000003</v>
      </c>
      <c r="AU49" s="259">
        <f t="shared" si="95"/>
        <v>0.96196843484687056</v>
      </c>
      <c r="AV49" s="260">
        <f>AV50+AV51</f>
        <v>431100.11152000003</v>
      </c>
      <c r="AW49" s="261">
        <f t="shared" si="96"/>
        <v>0.96196843484687056</v>
      </c>
      <c r="AX49" s="176">
        <v>0</v>
      </c>
      <c r="AY49" s="261">
        <v>0</v>
      </c>
      <c r="AZ49" s="260">
        <f>AZ50+AZ51</f>
        <v>17043.607030000006</v>
      </c>
      <c r="BA49" s="262">
        <f t="shared" si="97"/>
        <v>3.8031565153129387E-2</v>
      </c>
      <c r="BB49" s="260">
        <f>BB50+BB51</f>
        <v>17043.607030000006</v>
      </c>
      <c r="BC49" s="262">
        <f t="shared" si="98"/>
        <v>3.8031565153129387E-2</v>
      </c>
      <c r="BD49" s="260">
        <f>BD50+BD51</f>
        <v>0</v>
      </c>
      <c r="BE49" s="262">
        <v>0</v>
      </c>
      <c r="BF49" s="176">
        <f t="shared" si="78"/>
        <v>431100.11151999998</v>
      </c>
      <c r="BG49" s="262">
        <f t="shared" si="88"/>
        <v>0.99999999999999989</v>
      </c>
      <c r="BH49" s="260">
        <f>BH50+BH51</f>
        <v>431100.11151999998</v>
      </c>
      <c r="BI49" s="262">
        <f t="shared" si="89"/>
        <v>0.99999999999999989</v>
      </c>
      <c r="BJ49" s="260">
        <f>BJ50+BJ51</f>
        <v>0</v>
      </c>
      <c r="BK49" s="262">
        <v>0</v>
      </c>
      <c r="BL49" s="260">
        <f t="shared" si="126"/>
        <v>0</v>
      </c>
      <c r="BM49" s="262">
        <f t="shared" si="90"/>
        <v>0</v>
      </c>
      <c r="BN49" s="260">
        <f>BN50+BN51</f>
        <v>0</v>
      </c>
      <c r="BO49" s="262">
        <f t="shared" si="91"/>
        <v>0</v>
      </c>
      <c r="BP49" s="260">
        <f>BP50+BP51</f>
        <v>0</v>
      </c>
      <c r="BQ49" s="262">
        <v>0</v>
      </c>
      <c r="BR49" s="176">
        <f t="shared" si="127"/>
        <v>17043.607030000072</v>
      </c>
      <c r="BS49" s="263">
        <f t="shared" si="99"/>
        <v>3.8031565153129533E-2</v>
      </c>
      <c r="BT49" s="260">
        <f>BT50+BT51</f>
        <v>17043.607030000072</v>
      </c>
      <c r="BU49" s="263">
        <f t="shared" si="105"/>
        <v>3.8031565153129533E-2</v>
      </c>
      <c r="BV49" s="260">
        <f>BV50+BV51</f>
        <v>0</v>
      </c>
      <c r="BW49" s="263">
        <v>0</v>
      </c>
      <c r="BX49" s="302" t="s">
        <v>88</v>
      </c>
      <c r="BY49" s="265">
        <v>0</v>
      </c>
      <c r="BZ49" s="176" t="e">
        <f t="shared" si="82"/>
        <v>#REF!</v>
      </c>
      <c r="CA49" s="265" t="e">
        <f t="shared" si="83"/>
        <v>#REF!</v>
      </c>
      <c r="CB49" s="277" t="e">
        <f>#REF!-#REF!</f>
        <v>#REF!</v>
      </c>
      <c r="CC49" s="265" t="e">
        <f t="shared" si="84"/>
        <v>#REF!</v>
      </c>
      <c r="CD49" s="260">
        <f>CD50+CD51</f>
        <v>0</v>
      </c>
      <c r="CE49" s="265" t="e">
        <f t="shared" si="68"/>
        <v>#DIV/0!</v>
      </c>
      <c r="CF49" s="176" t="s">
        <v>81</v>
      </c>
      <c r="CG49" s="176" t="s">
        <v>81</v>
      </c>
      <c r="CH49" s="176">
        <f t="shared" si="129"/>
        <v>0</v>
      </c>
      <c r="CI49" s="267"/>
      <c r="CJ49" s="176">
        <f t="shared" si="130"/>
        <v>0</v>
      </c>
      <c r="CK49" s="268"/>
    </row>
    <row r="50" spans="2:89" s="42" customFormat="1" ht="23.25" hidden="1" customHeight="1">
      <c r="B50" s="247"/>
      <c r="C50" s="270" t="s">
        <v>90</v>
      </c>
      <c r="D50" s="274"/>
      <c r="E50" s="249">
        <f t="shared" si="123"/>
        <v>652444.70806999994</v>
      </c>
      <c r="F50" s="250">
        <f>F52+F53+F54+F56</f>
        <v>652444.70806999994</v>
      </c>
      <c r="G50" s="250">
        <f>G52+G53+G54+G56</f>
        <v>0</v>
      </c>
      <c r="H50" s="249">
        <f t="shared" si="124"/>
        <v>-204300.98952</v>
      </c>
      <c r="I50" s="250">
        <f>I52+I53+I54+I56</f>
        <v>-204300.98952</v>
      </c>
      <c r="J50" s="250"/>
      <c r="K50" s="251">
        <f t="shared" si="71"/>
        <v>448143.71855000005</v>
      </c>
      <c r="L50" s="252">
        <f>L52+L53+L54+L56+L55</f>
        <v>448143.71855000005</v>
      </c>
      <c r="M50" s="252">
        <f>M52+M53+M54+M56</f>
        <v>0</v>
      </c>
      <c r="N50" s="251">
        <f>O50+P50</f>
        <v>-7102.9086499999994</v>
      </c>
      <c r="O50" s="251">
        <f>O52+O53+O54+O55+O56</f>
        <v>-7102.9086499999994</v>
      </c>
      <c r="P50" s="252"/>
      <c r="Q50" s="249">
        <f t="shared" si="73"/>
        <v>441040.80990000005</v>
      </c>
      <c r="R50" s="249">
        <f t="shared" si="116"/>
        <v>441040.80990000005</v>
      </c>
      <c r="S50" s="250">
        <f>S52+S53+S54+S56</f>
        <v>0</v>
      </c>
      <c r="T50" s="252">
        <f>V50+X50</f>
        <v>60731.185669999999</v>
      </c>
      <c r="U50" s="253">
        <f t="shared" si="47"/>
        <v>0.13769969650602165</v>
      </c>
      <c r="V50" s="252">
        <f>V52+V53+V54+V55+V56</f>
        <v>60731.185669999999</v>
      </c>
      <c r="W50" s="253">
        <f t="shared" si="48"/>
        <v>0.13769969650602165</v>
      </c>
      <c r="X50" s="252">
        <f>X52+X53+X54+X56</f>
        <v>0</v>
      </c>
      <c r="Y50" s="253" t="e">
        <f t="shared" si="49"/>
        <v>#DIV/0!</v>
      </c>
      <c r="Z50" s="251">
        <f t="shared" si="74"/>
        <v>387412.53288000007</v>
      </c>
      <c r="AA50" s="253">
        <f t="shared" si="51"/>
        <v>0.87840518197814965</v>
      </c>
      <c r="AB50" s="251">
        <f t="shared" si="101"/>
        <v>387412.53288000007</v>
      </c>
      <c r="AC50" s="253">
        <f t="shared" si="52"/>
        <v>0.87840518197814965</v>
      </c>
      <c r="AD50" s="252">
        <f>AD52+AD53+AD54+AD55</f>
        <v>0</v>
      </c>
      <c r="AE50" s="251">
        <f t="shared" si="125"/>
        <v>0</v>
      </c>
      <c r="AF50" s="252">
        <f>AF52+AF53+AF54+AF56</f>
        <v>0</v>
      </c>
      <c r="AG50" s="252">
        <f>AG52+AG53+AG54+AG56</f>
        <v>0</v>
      </c>
      <c r="AH50" s="251">
        <f t="shared" si="76"/>
        <v>40343.603340000001</v>
      </c>
      <c r="AI50" s="252">
        <f>AI52+AI53+AI54+AI56+AI55</f>
        <v>40343.603340000001</v>
      </c>
      <c r="AJ50" s="252">
        <f>AJ52+AJ53+AJ54+AJ56</f>
        <v>0</v>
      </c>
      <c r="AK50" s="252">
        <f>AK52+AK53+AK54+AK56+AK55</f>
        <v>82430.361700000009</v>
      </c>
      <c r="AL50" s="255">
        <f t="shared" si="87"/>
        <v>2.0432077175979888</v>
      </c>
      <c r="AM50" s="256">
        <f t="shared" si="93"/>
        <v>0.18689962436512386</v>
      </c>
      <c r="AN50" s="252">
        <f>AN52+AN53+AN54+AN56+AN55</f>
        <v>82430.361700000009</v>
      </c>
      <c r="AO50" s="257">
        <f t="shared" si="77"/>
        <v>2.0432077175979888</v>
      </c>
      <c r="AP50" s="256">
        <f t="shared" si="94"/>
        <v>0.18689962436512386</v>
      </c>
      <c r="AQ50" s="252">
        <v>0</v>
      </c>
      <c r="AR50" s="257" t="e">
        <f t="shared" si="57"/>
        <v>#DIV/0!</v>
      </c>
      <c r="AS50" s="257">
        <v>0</v>
      </c>
      <c r="AT50" s="252">
        <f>AT52+AT53+AT54+AT56+AT55</f>
        <v>431100.11152000003</v>
      </c>
      <c r="AU50" s="259">
        <f t="shared" si="95"/>
        <v>0.96196843484687056</v>
      </c>
      <c r="AV50" s="260">
        <f>AV52+AV53+AV54+AV56+AV55</f>
        <v>431100.11152000003</v>
      </c>
      <c r="AW50" s="261">
        <f t="shared" si="96"/>
        <v>0.96196843484687056</v>
      </c>
      <c r="AX50" s="176">
        <v>0</v>
      </c>
      <c r="AY50" s="261">
        <v>0</v>
      </c>
      <c r="AZ50" s="260">
        <f>AZ52+AZ53+AZ54+AZ56</f>
        <v>17043.607030000006</v>
      </c>
      <c r="BA50" s="262">
        <f t="shared" si="97"/>
        <v>3.8031565153129387E-2</v>
      </c>
      <c r="BB50" s="176">
        <f>BB52+BB53+BB54+BB55+BB56</f>
        <v>17043.607030000006</v>
      </c>
      <c r="BC50" s="262">
        <f t="shared" si="98"/>
        <v>3.8031565153129387E-2</v>
      </c>
      <c r="BD50" s="260">
        <f>BD52+BD53+BD54+BD56</f>
        <v>0</v>
      </c>
      <c r="BE50" s="262">
        <v>0</v>
      </c>
      <c r="BF50" s="260">
        <f>BF52+BF53+BF54+BF56+BF55</f>
        <v>431100.11151999998</v>
      </c>
      <c r="BG50" s="262">
        <f t="shared" si="88"/>
        <v>0.99999999999999989</v>
      </c>
      <c r="BH50" s="260">
        <f>BH52+BH53+BH54+BH56+BH55</f>
        <v>431100.11151999998</v>
      </c>
      <c r="BI50" s="262">
        <f t="shared" si="89"/>
        <v>0.99999999999999989</v>
      </c>
      <c r="BJ50" s="260">
        <f>BJ52+BJ53+BJ54+BJ56</f>
        <v>0</v>
      </c>
      <c r="BK50" s="262">
        <v>0</v>
      </c>
      <c r="BL50" s="260">
        <f t="shared" si="126"/>
        <v>0</v>
      </c>
      <c r="BM50" s="262">
        <f t="shared" si="90"/>
        <v>0</v>
      </c>
      <c r="BN50" s="260">
        <f t="shared" si="110"/>
        <v>0</v>
      </c>
      <c r="BO50" s="262">
        <f t="shared" si="91"/>
        <v>0</v>
      </c>
      <c r="BP50" s="260">
        <f>BP52+BP53+BP54+BP56</f>
        <v>0</v>
      </c>
      <c r="BQ50" s="262">
        <v>0</v>
      </c>
      <c r="BR50" s="176">
        <f t="shared" si="127"/>
        <v>17043.607030000072</v>
      </c>
      <c r="BS50" s="263">
        <f t="shared" si="99"/>
        <v>3.8031565153129533E-2</v>
      </c>
      <c r="BT50" s="176">
        <f t="shared" ref="BT50:BT56" si="131">L50-BH50</f>
        <v>17043.607030000072</v>
      </c>
      <c r="BU50" s="263">
        <f t="shared" si="105"/>
        <v>3.8031565153129533E-2</v>
      </c>
      <c r="BV50" s="260">
        <f>BV52+BV53+BV54+BV56</f>
        <v>0</v>
      </c>
      <c r="BW50" s="263">
        <v>0</v>
      </c>
      <c r="BX50" s="302"/>
      <c r="BY50" s="271" t="e">
        <f t="shared" ref="BY50:BY56" si="132">AD50/S50</f>
        <v>#DIV/0!</v>
      </c>
      <c r="BZ50" s="176" t="e">
        <f t="shared" si="82"/>
        <v>#REF!</v>
      </c>
      <c r="CA50" s="271" t="e">
        <f t="shared" si="83"/>
        <v>#REF!</v>
      </c>
      <c r="CB50" s="176" t="e">
        <f>#REF!-#REF!</f>
        <v>#REF!</v>
      </c>
      <c r="CC50" s="271" t="e">
        <f t="shared" si="84"/>
        <v>#REF!</v>
      </c>
      <c r="CD50" s="260">
        <f>CD52+CD53+CD54+CD55</f>
        <v>0</v>
      </c>
      <c r="CE50" s="271" t="e">
        <f t="shared" si="68"/>
        <v>#DIV/0!</v>
      </c>
      <c r="CF50" s="176">
        <f t="shared" si="128"/>
        <v>0</v>
      </c>
      <c r="CG50" s="272"/>
      <c r="CH50" s="176">
        <f t="shared" si="129"/>
        <v>0</v>
      </c>
      <c r="CI50" s="272"/>
      <c r="CJ50" s="176">
        <f t="shared" si="130"/>
        <v>0</v>
      </c>
      <c r="CK50" s="273"/>
    </row>
    <row r="51" spans="2:89" s="294" customFormat="1" ht="33" hidden="1" customHeight="1">
      <c r="B51" s="278"/>
      <c r="C51" s="296" t="s">
        <v>91</v>
      </c>
      <c r="D51" s="280"/>
      <c r="E51" s="280">
        <f t="shared" si="123"/>
        <v>256210.33660000001</v>
      </c>
      <c r="F51" s="281">
        <v>256210.33660000001</v>
      </c>
      <c r="G51" s="281"/>
      <c r="H51" s="280">
        <f t="shared" si="124"/>
        <v>-256210.33660000001</v>
      </c>
      <c r="I51" s="280">
        <f>L51-F51</f>
        <v>-256210.33660000001</v>
      </c>
      <c r="J51" s="280"/>
      <c r="K51" s="282">
        <f t="shared" si="71"/>
        <v>0</v>
      </c>
      <c r="L51" s="283">
        <v>0</v>
      </c>
      <c r="M51" s="283">
        <f t="shared" ref="M51:M56" si="133">M53+M54+M55+M57</f>
        <v>0</v>
      </c>
      <c r="N51" s="282">
        <f t="shared" si="72"/>
        <v>0</v>
      </c>
      <c r="O51" s="282"/>
      <c r="P51" s="282"/>
      <c r="Q51" s="280">
        <f t="shared" si="73"/>
        <v>0</v>
      </c>
      <c r="R51" s="280">
        <f t="shared" si="116"/>
        <v>0</v>
      </c>
      <c r="S51" s="281"/>
      <c r="T51" s="283">
        <f t="shared" ref="T51:T56" si="134">V51+X51</f>
        <v>0</v>
      </c>
      <c r="U51" s="284" t="e">
        <f t="shared" si="47"/>
        <v>#DIV/0!</v>
      </c>
      <c r="V51" s="283">
        <f>R51</f>
        <v>0</v>
      </c>
      <c r="W51" s="284" t="e">
        <f t="shared" si="48"/>
        <v>#DIV/0!</v>
      </c>
      <c r="X51" s="283"/>
      <c r="Y51" s="284" t="e">
        <f t="shared" si="49"/>
        <v>#DIV/0!</v>
      </c>
      <c r="Z51" s="282">
        <f t="shared" si="74"/>
        <v>0</v>
      </c>
      <c r="AA51" s="284" t="e">
        <f t="shared" si="51"/>
        <v>#DIV/0!</v>
      </c>
      <c r="AB51" s="282">
        <f t="shared" si="101"/>
        <v>0</v>
      </c>
      <c r="AC51" s="284" t="e">
        <f t="shared" si="52"/>
        <v>#DIV/0!</v>
      </c>
      <c r="AD51" s="283"/>
      <c r="AE51" s="282">
        <f t="shared" si="125"/>
        <v>0</v>
      </c>
      <c r="AF51" s="283"/>
      <c r="AG51" s="283"/>
      <c r="AH51" s="282">
        <f t="shared" si="76"/>
        <v>2084.4263099999998</v>
      </c>
      <c r="AI51" s="283">
        <v>2084.4263099999998</v>
      </c>
      <c r="AJ51" s="283"/>
      <c r="AK51" s="282">
        <f t="shared" ref="AK51:AK56" si="135">AN51+AQ51</f>
        <v>3600.9550599999998</v>
      </c>
      <c r="AL51" s="285">
        <f t="shared" si="87"/>
        <v>1.7275521052121052</v>
      </c>
      <c r="AM51" s="286">
        <v>0</v>
      </c>
      <c r="AN51" s="283">
        <v>3600.9550599999998</v>
      </c>
      <c r="AO51" s="284">
        <f t="shared" si="77"/>
        <v>1.7275521052121052</v>
      </c>
      <c r="AP51" s="286">
        <v>0</v>
      </c>
      <c r="AQ51" s="299">
        <v>0</v>
      </c>
      <c r="AR51" s="284" t="e">
        <f t="shared" si="57"/>
        <v>#DIV/0!</v>
      </c>
      <c r="AS51" s="287">
        <v>0</v>
      </c>
      <c r="AT51" s="282">
        <f t="shared" ref="AT51:AT56" si="136">AV51+AX51</f>
        <v>0</v>
      </c>
      <c r="AU51" s="259" t="e">
        <f t="shared" si="95"/>
        <v>#DIV/0!</v>
      </c>
      <c r="AV51" s="288">
        <v>0</v>
      </c>
      <c r="AW51" s="261" t="e">
        <f t="shared" si="96"/>
        <v>#DIV/0!</v>
      </c>
      <c r="AX51" s="161">
        <v>0</v>
      </c>
      <c r="AY51" s="289">
        <v>0</v>
      </c>
      <c r="AZ51" s="152">
        <f>BB51+BD51</f>
        <v>0</v>
      </c>
      <c r="BA51" s="262" t="e">
        <f t="shared" si="97"/>
        <v>#DIV/0!</v>
      </c>
      <c r="BB51" s="176">
        <f>R51-AV51</f>
        <v>0</v>
      </c>
      <c r="BC51" s="262" t="e">
        <f t="shared" si="98"/>
        <v>#DIV/0!</v>
      </c>
      <c r="BD51" s="152">
        <f>G51-AX51</f>
        <v>0</v>
      </c>
      <c r="BE51" s="165">
        <v>0</v>
      </c>
      <c r="BF51" s="152">
        <f t="shared" ref="BF51:BF56" si="137">BH51+BJ51</f>
        <v>0</v>
      </c>
      <c r="BG51" s="262" t="e">
        <f t="shared" si="88"/>
        <v>#DIV/0!</v>
      </c>
      <c r="BH51" s="288">
        <v>0</v>
      </c>
      <c r="BI51" s="262" t="e">
        <f t="shared" si="89"/>
        <v>#DIV/0!</v>
      </c>
      <c r="BJ51" s="288">
        <v>0</v>
      </c>
      <c r="BK51" s="262">
        <v>0</v>
      </c>
      <c r="BL51" s="260">
        <f t="shared" si="126"/>
        <v>0</v>
      </c>
      <c r="BM51" s="262">
        <v>0</v>
      </c>
      <c r="BN51" s="260">
        <f t="shared" si="110"/>
        <v>0</v>
      </c>
      <c r="BO51" s="262">
        <v>0</v>
      </c>
      <c r="BP51" s="288">
        <v>0</v>
      </c>
      <c r="BQ51" s="262">
        <v>0</v>
      </c>
      <c r="BR51" s="152">
        <f t="shared" si="127"/>
        <v>0</v>
      </c>
      <c r="BS51" s="263">
        <v>0</v>
      </c>
      <c r="BT51" s="176">
        <f t="shared" si="131"/>
        <v>0</v>
      </c>
      <c r="BU51" s="263">
        <v>0</v>
      </c>
      <c r="BV51" s="288">
        <v>0</v>
      </c>
      <c r="BW51" s="263">
        <v>0</v>
      </c>
      <c r="BX51" s="302"/>
      <c r="BY51" s="290" t="e">
        <f t="shared" si="132"/>
        <v>#DIV/0!</v>
      </c>
      <c r="BZ51" s="152" t="e">
        <f t="shared" si="82"/>
        <v>#REF!</v>
      </c>
      <c r="CA51" s="290" t="e">
        <f t="shared" si="83"/>
        <v>#REF!</v>
      </c>
      <c r="CB51" s="152" t="e">
        <f>#REF!-#REF!</f>
        <v>#REF!</v>
      </c>
      <c r="CC51" s="290" t="e">
        <f t="shared" si="84"/>
        <v>#REF!</v>
      </c>
      <c r="CD51" s="288"/>
      <c r="CE51" s="290" t="e">
        <f t="shared" si="68"/>
        <v>#DIV/0!</v>
      </c>
      <c r="CF51" s="152">
        <f t="shared" si="128"/>
        <v>0</v>
      </c>
      <c r="CG51" s="292"/>
      <c r="CH51" s="152">
        <f t="shared" si="129"/>
        <v>0</v>
      </c>
      <c r="CI51" s="292"/>
      <c r="CJ51" s="152">
        <f t="shared" si="130"/>
        <v>0</v>
      </c>
      <c r="CK51" s="293"/>
    </row>
    <row r="52" spans="2:89" s="42" customFormat="1" ht="23.25" hidden="1" customHeight="1">
      <c r="B52" s="247"/>
      <c r="C52" s="270" t="s">
        <v>82</v>
      </c>
      <c r="D52" s="274"/>
      <c r="E52" s="249">
        <f t="shared" si="123"/>
        <v>572701.58791</v>
      </c>
      <c r="F52" s="250">
        <v>572701.58791</v>
      </c>
      <c r="G52" s="250"/>
      <c r="H52" s="249">
        <f t="shared" si="124"/>
        <v>-154973.37143</v>
      </c>
      <c r="I52" s="249">
        <f>L52-F52</f>
        <v>-154973.37143</v>
      </c>
      <c r="J52" s="249"/>
      <c r="K52" s="251">
        <f t="shared" si="71"/>
        <v>417728.21648</v>
      </c>
      <c r="L52" s="252">
        <v>417728.21648</v>
      </c>
      <c r="M52" s="252">
        <f t="shared" si="133"/>
        <v>0</v>
      </c>
      <c r="N52" s="251">
        <f t="shared" si="72"/>
        <v>0</v>
      </c>
      <c r="O52" s="251"/>
      <c r="P52" s="251"/>
      <c r="Q52" s="249">
        <f t="shared" si="73"/>
        <v>424971.36113000003</v>
      </c>
      <c r="R52" s="249">
        <v>424971.36113000003</v>
      </c>
      <c r="S52" s="250"/>
      <c r="T52" s="252">
        <f t="shared" si="134"/>
        <v>53657.19</v>
      </c>
      <c r="U52" s="253">
        <f t="shared" si="47"/>
        <v>0.12626071991610302</v>
      </c>
      <c r="V52" s="252">
        <v>53657.19</v>
      </c>
      <c r="W52" s="253">
        <f t="shared" si="48"/>
        <v>0.12626071991610302</v>
      </c>
      <c r="X52" s="252"/>
      <c r="Y52" s="253" t="e">
        <f t="shared" si="49"/>
        <v>#DIV/0!</v>
      </c>
      <c r="Z52" s="251">
        <f t="shared" si="74"/>
        <v>364071.02648</v>
      </c>
      <c r="AA52" s="253">
        <f t="shared" si="51"/>
        <v>0.85669543828067407</v>
      </c>
      <c r="AB52" s="251">
        <f t="shared" si="101"/>
        <v>364071.02648</v>
      </c>
      <c r="AC52" s="253">
        <f t="shared" si="52"/>
        <v>0.85669543828067407</v>
      </c>
      <c r="AD52" s="252"/>
      <c r="AE52" s="251">
        <f t="shared" si="125"/>
        <v>0</v>
      </c>
      <c r="AF52" s="252"/>
      <c r="AG52" s="252"/>
      <c r="AH52" s="251">
        <f t="shared" si="76"/>
        <v>39604.099719999998</v>
      </c>
      <c r="AI52" s="252">
        <v>39604.099719999998</v>
      </c>
      <c r="AJ52" s="252"/>
      <c r="AK52" s="251">
        <f t="shared" si="135"/>
        <v>68418.146269999997</v>
      </c>
      <c r="AL52" s="255">
        <f t="shared" si="87"/>
        <v>1.7275521159100848</v>
      </c>
      <c r="AM52" s="256">
        <f t="shared" si="93"/>
        <v>0.1609947222986414</v>
      </c>
      <c r="AN52" s="252">
        <v>68418.146269999997</v>
      </c>
      <c r="AO52" s="257">
        <f t="shared" si="77"/>
        <v>1.7275521159100848</v>
      </c>
      <c r="AP52" s="256">
        <f t="shared" si="94"/>
        <v>0.1609947222986414</v>
      </c>
      <c r="AQ52" s="252">
        <v>0</v>
      </c>
      <c r="AR52" s="257" t="e">
        <f t="shared" si="57"/>
        <v>#DIV/0!</v>
      </c>
      <c r="AS52" s="257">
        <v>0</v>
      </c>
      <c r="AT52" s="251">
        <f t="shared" si="136"/>
        <v>402406.84602</v>
      </c>
      <c r="AU52" s="259">
        <f t="shared" si="95"/>
        <v>0.96332215575690339</v>
      </c>
      <c r="AV52" s="176">
        <f>BH52</f>
        <v>402406.84602</v>
      </c>
      <c r="AW52" s="261">
        <f t="shared" si="96"/>
        <v>0.96332215575690339</v>
      </c>
      <c r="AX52" s="176">
        <v>0</v>
      </c>
      <c r="AY52" s="261">
        <v>0</v>
      </c>
      <c r="AZ52" s="176">
        <f>BB52+BD52</f>
        <v>15321.370460000006</v>
      </c>
      <c r="BA52" s="262">
        <f t="shared" si="97"/>
        <v>3.6677844243096662E-2</v>
      </c>
      <c r="BB52" s="176">
        <f>L52-AV52</f>
        <v>15321.370460000006</v>
      </c>
      <c r="BC52" s="262">
        <f t="shared" si="98"/>
        <v>3.6677844243096662E-2</v>
      </c>
      <c r="BD52" s="176">
        <f>G52-AX52</f>
        <v>0</v>
      </c>
      <c r="BE52" s="262">
        <v>0</v>
      </c>
      <c r="BF52" s="176">
        <f t="shared" si="137"/>
        <v>402406.84602</v>
      </c>
      <c r="BG52" s="262">
        <f t="shared" si="88"/>
        <v>1</v>
      </c>
      <c r="BH52" s="260">
        <v>402406.84602</v>
      </c>
      <c r="BI52" s="262">
        <f t="shared" si="89"/>
        <v>1</v>
      </c>
      <c r="BJ52" s="260">
        <v>0</v>
      </c>
      <c r="BK52" s="262">
        <v>0</v>
      </c>
      <c r="BL52" s="260">
        <f t="shared" si="126"/>
        <v>0</v>
      </c>
      <c r="BM52" s="262">
        <f t="shared" si="90"/>
        <v>0</v>
      </c>
      <c r="BN52" s="260">
        <f t="shared" si="110"/>
        <v>0</v>
      </c>
      <c r="BO52" s="262">
        <f t="shared" si="91"/>
        <v>0</v>
      </c>
      <c r="BP52" s="260">
        <v>0</v>
      </c>
      <c r="BQ52" s="262">
        <v>0</v>
      </c>
      <c r="BR52" s="176">
        <f t="shared" si="127"/>
        <v>15321.370460000006</v>
      </c>
      <c r="BS52" s="263">
        <f t="shared" si="99"/>
        <v>3.6677844243096662E-2</v>
      </c>
      <c r="BT52" s="176">
        <f t="shared" si="131"/>
        <v>15321.370460000006</v>
      </c>
      <c r="BU52" s="263">
        <f t="shared" si="105"/>
        <v>3.6677844243096662E-2</v>
      </c>
      <c r="BV52" s="260">
        <v>0</v>
      </c>
      <c r="BW52" s="263">
        <v>0</v>
      </c>
      <c r="BX52" s="302"/>
      <c r="BY52" s="271" t="e">
        <f t="shared" si="132"/>
        <v>#DIV/0!</v>
      </c>
      <c r="BZ52" s="176" t="e">
        <f t="shared" si="82"/>
        <v>#REF!</v>
      </c>
      <c r="CA52" s="271" t="e">
        <f t="shared" si="83"/>
        <v>#REF!</v>
      </c>
      <c r="CB52" s="176" t="e">
        <f>#REF!-#REF!</f>
        <v>#REF!</v>
      </c>
      <c r="CC52" s="271" t="e">
        <f t="shared" si="84"/>
        <v>#REF!</v>
      </c>
      <c r="CD52" s="260"/>
      <c r="CE52" s="271" t="e">
        <f t="shared" si="68"/>
        <v>#DIV/0!</v>
      </c>
      <c r="CF52" s="176">
        <f t="shared" si="128"/>
        <v>0</v>
      </c>
      <c r="CG52" s="272"/>
      <c r="CH52" s="176">
        <f t="shared" si="129"/>
        <v>0</v>
      </c>
      <c r="CI52" s="272"/>
      <c r="CJ52" s="176">
        <f t="shared" si="130"/>
        <v>0</v>
      </c>
      <c r="CK52" s="273"/>
    </row>
    <row r="53" spans="2:89" s="42" customFormat="1" ht="23.25" hidden="1" customHeight="1">
      <c r="B53" s="247"/>
      <c r="C53" s="270" t="s">
        <v>83</v>
      </c>
      <c r="D53" s="274"/>
      <c r="E53" s="249">
        <f t="shared" si="123"/>
        <v>62059.140160000003</v>
      </c>
      <c r="F53" s="250">
        <v>62059.140160000003</v>
      </c>
      <c r="G53" s="250"/>
      <c r="H53" s="249">
        <f t="shared" si="124"/>
        <v>-46145.663509999998</v>
      </c>
      <c r="I53" s="249">
        <f>L53-F53</f>
        <v>-46145.663509999998</v>
      </c>
      <c r="J53" s="249"/>
      <c r="K53" s="251">
        <f t="shared" si="71"/>
        <v>15913.476650000001</v>
      </c>
      <c r="L53" s="252">
        <v>15913.476650000001</v>
      </c>
      <c r="M53" s="252">
        <f t="shared" si="133"/>
        <v>0</v>
      </c>
      <c r="N53" s="251">
        <f>O53+P53</f>
        <v>-6286.6832299999987</v>
      </c>
      <c r="O53" s="251">
        <f>R53-L53</f>
        <v>-6286.6832299999987</v>
      </c>
      <c r="P53" s="251"/>
      <c r="Q53" s="249">
        <f t="shared" si="73"/>
        <v>9626.7934200000018</v>
      </c>
      <c r="R53" s="249">
        <v>9626.7934200000018</v>
      </c>
      <c r="S53" s="250"/>
      <c r="T53" s="252">
        <f t="shared" si="134"/>
        <v>1173.4339600000001</v>
      </c>
      <c r="U53" s="253">
        <f t="shared" si="47"/>
        <v>0.12189250447216929</v>
      </c>
      <c r="V53" s="252">
        <v>1173.4339600000001</v>
      </c>
      <c r="W53" s="253">
        <f t="shared" si="48"/>
        <v>0.12189250447216929</v>
      </c>
      <c r="X53" s="252"/>
      <c r="Y53" s="253" t="e">
        <f t="shared" si="49"/>
        <v>#DIV/0!</v>
      </c>
      <c r="Z53" s="251">
        <f t="shared" si="74"/>
        <v>14740.04269</v>
      </c>
      <c r="AA53" s="253">
        <f t="shared" si="51"/>
        <v>1.5311477089948813</v>
      </c>
      <c r="AB53" s="251">
        <f t="shared" si="101"/>
        <v>14740.04269</v>
      </c>
      <c r="AC53" s="253">
        <f t="shared" si="52"/>
        <v>1.5311477089948813</v>
      </c>
      <c r="AD53" s="252"/>
      <c r="AE53" s="251">
        <f t="shared" si="125"/>
        <v>0</v>
      </c>
      <c r="AF53" s="252"/>
      <c r="AG53" s="252"/>
      <c r="AH53" s="251">
        <f t="shared" si="76"/>
        <v>-996.5074800000001</v>
      </c>
      <c r="AI53" s="252">
        <f>739.50362-AI54-AI55</f>
        <v>-996.5074800000001</v>
      </c>
      <c r="AJ53" s="252"/>
      <c r="AK53" s="251">
        <f t="shared" si="135"/>
        <v>-489.80998999999974</v>
      </c>
      <c r="AL53" s="255">
        <f t="shared" si="87"/>
        <v>0.49152665667898415</v>
      </c>
      <c r="AM53" s="256">
        <f t="shared" si="93"/>
        <v>-5.0879869197400895E-2</v>
      </c>
      <c r="AN53" s="252">
        <f>14012.21543-AN54-AN56</f>
        <v>-489.80998999999974</v>
      </c>
      <c r="AO53" s="257">
        <f t="shared" si="77"/>
        <v>0.49152665667898415</v>
      </c>
      <c r="AP53" s="256">
        <f t="shared" si="94"/>
        <v>-5.0879869197400895E-2</v>
      </c>
      <c r="AQ53" s="252">
        <v>0</v>
      </c>
      <c r="AR53" s="257" t="e">
        <f t="shared" si="57"/>
        <v>#DIV/0!</v>
      </c>
      <c r="AS53" s="257">
        <v>0</v>
      </c>
      <c r="AT53" s="251">
        <f t="shared" si="136"/>
        <v>14191.24008</v>
      </c>
      <c r="AU53" s="259">
        <f t="shared" si="95"/>
        <v>0.89177496483774332</v>
      </c>
      <c r="AV53" s="176">
        <v>14191.24008</v>
      </c>
      <c r="AW53" s="261">
        <f t="shared" si="96"/>
        <v>0.89177496483774332</v>
      </c>
      <c r="AX53" s="176">
        <v>0</v>
      </c>
      <c r="AY53" s="261">
        <v>0</v>
      </c>
      <c r="AZ53" s="176">
        <f>BB53+BD53</f>
        <v>1722.2365700000009</v>
      </c>
      <c r="BA53" s="262">
        <f t="shared" si="97"/>
        <v>0.10822503516225669</v>
      </c>
      <c r="BB53" s="176">
        <f>L53-AV53</f>
        <v>1722.2365700000009</v>
      </c>
      <c r="BC53" s="262">
        <f t="shared" si="98"/>
        <v>0.10822503516225669</v>
      </c>
      <c r="BD53" s="176">
        <f>G53-AX53</f>
        <v>0</v>
      </c>
      <c r="BE53" s="262">
        <v>0</v>
      </c>
      <c r="BF53" s="176">
        <f t="shared" si="137"/>
        <v>15007.465500000002</v>
      </c>
      <c r="BG53" s="262">
        <f t="shared" si="88"/>
        <v>1.0575161448470121</v>
      </c>
      <c r="BH53" s="260">
        <f>28693.2655-BH54-BH55-BH56</f>
        <v>15007.465500000002</v>
      </c>
      <c r="BI53" s="262">
        <f t="shared" si="89"/>
        <v>1.0575161448470121</v>
      </c>
      <c r="BJ53" s="260">
        <v>0</v>
      </c>
      <c r="BK53" s="262">
        <v>0</v>
      </c>
      <c r="BL53" s="260">
        <f t="shared" si="126"/>
        <v>-816.22542000000249</v>
      </c>
      <c r="BM53" s="262">
        <f t="shared" si="90"/>
        <v>-5.7516144847012021E-2</v>
      </c>
      <c r="BN53" s="260">
        <f t="shared" si="110"/>
        <v>-816.22542000000249</v>
      </c>
      <c r="BO53" s="262">
        <f t="shared" si="91"/>
        <v>-5.7516144847012021E-2</v>
      </c>
      <c r="BP53" s="260">
        <v>0</v>
      </c>
      <c r="BQ53" s="262">
        <v>0</v>
      </c>
      <c r="BR53" s="176">
        <f t="shared" si="127"/>
        <v>906.01114999999845</v>
      </c>
      <c r="BS53" s="263">
        <f t="shared" si="99"/>
        <v>5.6933577113709999E-2</v>
      </c>
      <c r="BT53" s="176">
        <f t="shared" si="131"/>
        <v>906.01114999999845</v>
      </c>
      <c r="BU53" s="263">
        <f t="shared" si="105"/>
        <v>5.6933577113709999E-2</v>
      </c>
      <c r="BV53" s="260">
        <v>0</v>
      </c>
      <c r="BW53" s="263">
        <v>0</v>
      </c>
      <c r="BX53" s="302"/>
      <c r="BY53" s="271" t="e">
        <f t="shared" si="132"/>
        <v>#DIV/0!</v>
      </c>
      <c r="BZ53" s="176" t="e">
        <f t="shared" si="82"/>
        <v>#REF!</v>
      </c>
      <c r="CA53" s="271" t="e">
        <f t="shared" si="83"/>
        <v>#REF!</v>
      </c>
      <c r="CB53" s="176" t="e">
        <f>#REF!-#REF!</f>
        <v>#REF!</v>
      </c>
      <c r="CC53" s="271" t="e">
        <f t="shared" si="84"/>
        <v>#REF!</v>
      </c>
      <c r="CD53" s="260"/>
      <c r="CE53" s="271" t="e">
        <f t="shared" si="68"/>
        <v>#DIV/0!</v>
      </c>
      <c r="CF53" s="176">
        <f t="shared" si="128"/>
        <v>0</v>
      </c>
      <c r="CG53" s="272"/>
      <c r="CH53" s="176">
        <f t="shared" si="129"/>
        <v>0</v>
      </c>
      <c r="CI53" s="272"/>
      <c r="CJ53" s="176">
        <f t="shared" si="130"/>
        <v>0</v>
      </c>
      <c r="CK53" s="273"/>
    </row>
    <row r="54" spans="2:89" s="42" customFormat="1" ht="23.25" hidden="1" customHeight="1">
      <c r="B54" s="247"/>
      <c r="C54" s="270" t="s">
        <v>92</v>
      </c>
      <c r="D54" s="274"/>
      <c r="E54" s="249">
        <f t="shared" si="123"/>
        <v>17683.98</v>
      </c>
      <c r="F54" s="249">
        <v>17683.98</v>
      </c>
      <c r="G54" s="249"/>
      <c r="H54" s="249">
        <f t="shared" si="124"/>
        <v>-15947.98</v>
      </c>
      <c r="I54" s="249">
        <f>L54-F54</f>
        <v>-15947.98</v>
      </c>
      <c r="J54" s="249"/>
      <c r="K54" s="251">
        <f t="shared" si="71"/>
        <v>1736</v>
      </c>
      <c r="L54" s="252">
        <f>R54</f>
        <v>1736</v>
      </c>
      <c r="M54" s="252">
        <f t="shared" si="133"/>
        <v>0</v>
      </c>
      <c r="N54" s="251">
        <f t="shared" si="72"/>
        <v>0</v>
      </c>
      <c r="O54" s="251">
        <f t="shared" ref="O54:O56" si="138">R54-L54</f>
        <v>0</v>
      </c>
      <c r="P54" s="251"/>
      <c r="Q54" s="249">
        <f t="shared" si="73"/>
        <v>1736</v>
      </c>
      <c r="R54" s="249">
        <v>1736</v>
      </c>
      <c r="S54" s="249"/>
      <c r="T54" s="252">
        <f t="shared" si="134"/>
        <v>2260.3919999999998</v>
      </c>
      <c r="U54" s="253">
        <f t="shared" si="47"/>
        <v>1.3020691244239631</v>
      </c>
      <c r="V54" s="252">
        <v>2260.3919999999998</v>
      </c>
      <c r="W54" s="253">
        <f t="shared" si="48"/>
        <v>1.3020691244239631</v>
      </c>
      <c r="X54" s="251"/>
      <c r="Y54" s="253" t="e">
        <f t="shared" si="49"/>
        <v>#DIV/0!</v>
      </c>
      <c r="Z54" s="251">
        <f t="shared" si="74"/>
        <v>-524.39199999999983</v>
      </c>
      <c r="AA54" s="253">
        <f t="shared" si="51"/>
        <v>-0.30206912442396305</v>
      </c>
      <c r="AB54" s="251">
        <f t="shared" si="101"/>
        <v>-524.39199999999983</v>
      </c>
      <c r="AC54" s="253">
        <f t="shared" si="52"/>
        <v>-0.30206912442396305</v>
      </c>
      <c r="AD54" s="251"/>
      <c r="AE54" s="251">
        <f t="shared" si="125"/>
        <v>0</v>
      </c>
      <c r="AF54" s="251"/>
      <c r="AG54" s="251"/>
      <c r="AH54" s="251">
        <f t="shared" si="76"/>
        <v>1736</v>
      </c>
      <c r="AI54" s="251">
        <f>AV54</f>
        <v>1736</v>
      </c>
      <c r="AJ54" s="251"/>
      <c r="AK54" s="251">
        <f t="shared" si="135"/>
        <v>1736</v>
      </c>
      <c r="AL54" s="255">
        <f t="shared" si="87"/>
        <v>1</v>
      </c>
      <c r="AM54" s="256">
        <f t="shared" si="93"/>
        <v>1</v>
      </c>
      <c r="AN54" s="252">
        <f t="shared" ref="AN54" si="139">AI54</f>
        <v>1736</v>
      </c>
      <c r="AO54" s="257">
        <f t="shared" si="77"/>
        <v>1</v>
      </c>
      <c r="AP54" s="256">
        <f t="shared" si="94"/>
        <v>1</v>
      </c>
      <c r="AQ54" s="252">
        <v>0</v>
      </c>
      <c r="AR54" s="257" t="e">
        <f t="shared" si="57"/>
        <v>#DIV/0!</v>
      </c>
      <c r="AS54" s="257">
        <v>0</v>
      </c>
      <c r="AT54" s="251">
        <f t="shared" si="136"/>
        <v>1736</v>
      </c>
      <c r="AU54" s="259">
        <f t="shared" si="95"/>
        <v>1</v>
      </c>
      <c r="AV54" s="176">
        <f t="shared" ref="AV54:AV55" si="140">BH54</f>
        <v>1736</v>
      </c>
      <c r="AW54" s="261">
        <f t="shared" si="96"/>
        <v>1</v>
      </c>
      <c r="AX54" s="176">
        <v>0</v>
      </c>
      <c r="AY54" s="261">
        <v>0</v>
      </c>
      <c r="AZ54" s="176">
        <f>BB54+BD54</f>
        <v>0</v>
      </c>
      <c r="BA54" s="262">
        <f t="shared" si="97"/>
        <v>0</v>
      </c>
      <c r="BB54" s="176">
        <f>L54-AV54</f>
        <v>0</v>
      </c>
      <c r="BC54" s="262">
        <f t="shared" si="98"/>
        <v>0</v>
      </c>
      <c r="BD54" s="176">
        <f>G54-AX54</f>
        <v>0</v>
      </c>
      <c r="BE54" s="262">
        <v>0</v>
      </c>
      <c r="BF54" s="176">
        <f t="shared" si="137"/>
        <v>1736</v>
      </c>
      <c r="BG54" s="262">
        <f t="shared" si="88"/>
        <v>1</v>
      </c>
      <c r="BH54" s="260">
        <f>'[1]тыс. руб 1 знак'!$AV$51</f>
        <v>1736</v>
      </c>
      <c r="BI54" s="262">
        <f t="shared" si="89"/>
        <v>1</v>
      </c>
      <c r="BJ54" s="260">
        <v>0</v>
      </c>
      <c r="BK54" s="262">
        <v>0</v>
      </c>
      <c r="BL54" s="260">
        <f t="shared" si="126"/>
        <v>0</v>
      </c>
      <c r="BM54" s="262">
        <f t="shared" si="90"/>
        <v>0</v>
      </c>
      <c r="BN54" s="260">
        <f t="shared" si="110"/>
        <v>0</v>
      </c>
      <c r="BO54" s="262">
        <f t="shared" si="91"/>
        <v>0</v>
      </c>
      <c r="BP54" s="260">
        <v>0</v>
      </c>
      <c r="BQ54" s="262">
        <v>0</v>
      </c>
      <c r="BR54" s="176">
        <f t="shared" si="127"/>
        <v>0</v>
      </c>
      <c r="BS54" s="263">
        <f t="shared" si="99"/>
        <v>0</v>
      </c>
      <c r="BT54" s="176">
        <f t="shared" si="131"/>
        <v>0</v>
      </c>
      <c r="BU54" s="263">
        <f t="shared" si="105"/>
        <v>0</v>
      </c>
      <c r="BV54" s="260">
        <v>0</v>
      </c>
      <c r="BW54" s="263">
        <v>0</v>
      </c>
      <c r="BX54" s="302"/>
      <c r="BY54" s="271" t="e">
        <f t="shared" si="132"/>
        <v>#DIV/0!</v>
      </c>
      <c r="BZ54" s="176" t="e">
        <f t="shared" si="82"/>
        <v>#REF!</v>
      </c>
      <c r="CA54" s="271" t="e">
        <f t="shared" si="83"/>
        <v>#REF!</v>
      </c>
      <c r="CB54" s="176" t="e">
        <f>#REF!-#REF!</f>
        <v>#REF!</v>
      </c>
      <c r="CC54" s="271" t="e">
        <f t="shared" si="84"/>
        <v>#REF!</v>
      </c>
      <c r="CD54" s="176"/>
      <c r="CE54" s="271" t="e">
        <f t="shared" si="68"/>
        <v>#DIV/0!</v>
      </c>
      <c r="CF54" s="176">
        <f t="shared" si="128"/>
        <v>0</v>
      </c>
      <c r="CG54" s="272"/>
      <c r="CH54" s="176">
        <f t="shared" si="129"/>
        <v>0</v>
      </c>
      <c r="CI54" s="272"/>
      <c r="CJ54" s="176">
        <f t="shared" si="130"/>
        <v>0</v>
      </c>
      <c r="CK54" s="273"/>
    </row>
    <row r="55" spans="2:89" s="42" customFormat="1" ht="23.25" hidden="1" customHeight="1">
      <c r="B55" s="247"/>
      <c r="C55" s="270" t="s">
        <v>102</v>
      </c>
      <c r="D55" s="274"/>
      <c r="E55" s="249"/>
      <c r="F55" s="249"/>
      <c r="G55" s="249"/>
      <c r="H55" s="249"/>
      <c r="I55" s="249"/>
      <c r="J55" s="249"/>
      <c r="K55" s="251">
        <f t="shared" si="71"/>
        <v>0</v>
      </c>
      <c r="L55" s="252">
        <f>R55</f>
        <v>0</v>
      </c>
      <c r="M55" s="252">
        <f t="shared" si="133"/>
        <v>0</v>
      </c>
      <c r="N55" s="251">
        <f t="shared" si="72"/>
        <v>0</v>
      </c>
      <c r="O55" s="251">
        <f t="shared" si="138"/>
        <v>0</v>
      </c>
      <c r="P55" s="251"/>
      <c r="Q55" s="249">
        <f t="shared" si="73"/>
        <v>0</v>
      </c>
      <c r="R55" s="249">
        <v>0</v>
      </c>
      <c r="S55" s="249"/>
      <c r="T55" s="252">
        <f t="shared" si="134"/>
        <v>3.4499999999999999E-3</v>
      </c>
      <c r="U55" s="253" t="e">
        <f t="shared" si="47"/>
        <v>#DIV/0!</v>
      </c>
      <c r="V55" s="252">
        <v>3.4499999999999999E-3</v>
      </c>
      <c r="W55" s="253" t="e">
        <f t="shared" si="48"/>
        <v>#DIV/0!</v>
      </c>
      <c r="X55" s="251"/>
      <c r="Y55" s="253" t="e">
        <f t="shared" si="49"/>
        <v>#DIV/0!</v>
      </c>
      <c r="Z55" s="251">
        <f t="shared" si="74"/>
        <v>-3.4499999999999999E-3</v>
      </c>
      <c r="AA55" s="253" t="e">
        <f t="shared" si="51"/>
        <v>#DIV/0!</v>
      </c>
      <c r="AB55" s="251">
        <f t="shared" si="101"/>
        <v>-3.4499999999999999E-3</v>
      </c>
      <c r="AC55" s="253" t="e">
        <f t="shared" si="52"/>
        <v>#DIV/0!</v>
      </c>
      <c r="AD55" s="251"/>
      <c r="AE55" s="251"/>
      <c r="AF55" s="251"/>
      <c r="AG55" s="251"/>
      <c r="AH55" s="251">
        <f t="shared" si="76"/>
        <v>1.11E-2</v>
      </c>
      <c r="AI55" s="251">
        <v>1.11E-2</v>
      </c>
      <c r="AJ55" s="251"/>
      <c r="AK55" s="251">
        <f t="shared" si="135"/>
        <v>0</v>
      </c>
      <c r="AL55" s="255">
        <f t="shared" si="87"/>
        <v>0</v>
      </c>
      <c r="AM55" s="256">
        <v>0</v>
      </c>
      <c r="AN55" s="252">
        <v>0</v>
      </c>
      <c r="AO55" s="257">
        <f t="shared" si="77"/>
        <v>0</v>
      </c>
      <c r="AP55" s="256">
        <v>0</v>
      </c>
      <c r="AQ55" s="252">
        <v>0</v>
      </c>
      <c r="AR55" s="257" t="e">
        <f t="shared" si="57"/>
        <v>#DIV/0!</v>
      </c>
      <c r="AS55" s="257">
        <v>0</v>
      </c>
      <c r="AT55" s="251">
        <f t="shared" si="136"/>
        <v>0</v>
      </c>
      <c r="AU55" s="259" t="e">
        <f t="shared" si="95"/>
        <v>#DIV/0!</v>
      </c>
      <c r="AV55" s="176">
        <f t="shared" si="140"/>
        <v>0</v>
      </c>
      <c r="AW55" s="261" t="e">
        <f t="shared" si="96"/>
        <v>#DIV/0!</v>
      </c>
      <c r="AX55" s="176">
        <v>0</v>
      </c>
      <c r="AY55" s="261">
        <v>0</v>
      </c>
      <c r="AZ55" s="176">
        <v>0</v>
      </c>
      <c r="BA55" s="262" t="e">
        <f t="shared" si="97"/>
        <v>#DIV/0!</v>
      </c>
      <c r="BB55" s="176">
        <f>L55-AV55</f>
        <v>0</v>
      </c>
      <c r="BC55" s="262" t="e">
        <f t="shared" si="98"/>
        <v>#DIV/0!</v>
      </c>
      <c r="BD55" s="176">
        <v>0</v>
      </c>
      <c r="BE55" s="262">
        <v>0</v>
      </c>
      <c r="BF55" s="176">
        <f t="shared" si="137"/>
        <v>0</v>
      </c>
      <c r="BG55" s="262" t="e">
        <f t="shared" si="88"/>
        <v>#DIV/0!</v>
      </c>
      <c r="BH55" s="260">
        <f>'[1]тыс. руб 1 знак'!$AV$52</f>
        <v>0</v>
      </c>
      <c r="BI55" s="262" t="e">
        <f t="shared" si="89"/>
        <v>#DIV/0!</v>
      </c>
      <c r="BJ55" s="260">
        <v>0</v>
      </c>
      <c r="BK55" s="262">
        <v>0</v>
      </c>
      <c r="BL55" s="260">
        <f t="shared" si="126"/>
        <v>0</v>
      </c>
      <c r="BM55" s="262" t="e">
        <f t="shared" si="90"/>
        <v>#DIV/0!</v>
      </c>
      <c r="BN55" s="260">
        <f t="shared" si="110"/>
        <v>0</v>
      </c>
      <c r="BO55" s="262" t="e">
        <f t="shared" si="91"/>
        <v>#DIV/0!</v>
      </c>
      <c r="BP55" s="260">
        <v>0</v>
      </c>
      <c r="BQ55" s="262">
        <v>0</v>
      </c>
      <c r="BR55" s="176">
        <f t="shared" si="127"/>
        <v>0</v>
      </c>
      <c r="BS55" s="263" t="e">
        <f t="shared" si="99"/>
        <v>#DIV/0!</v>
      </c>
      <c r="BT55" s="176">
        <f t="shared" si="131"/>
        <v>0</v>
      </c>
      <c r="BU55" s="263" t="e">
        <f t="shared" si="105"/>
        <v>#DIV/0!</v>
      </c>
      <c r="BV55" s="260">
        <v>0</v>
      </c>
      <c r="BW55" s="263">
        <v>0</v>
      </c>
      <c r="BX55" s="302"/>
      <c r="BY55" s="271" t="e">
        <f t="shared" si="132"/>
        <v>#DIV/0!</v>
      </c>
      <c r="BZ55" s="176" t="e">
        <f t="shared" si="82"/>
        <v>#REF!</v>
      </c>
      <c r="CA55" s="271" t="e">
        <f t="shared" si="83"/>
        <v>#REF!</v>
      </c>
      <c r="CB55" s="176" t="e">
        <f>#REF!-#REF!</f>
        <v>#REF!</v>
      </c>
      <c r="CC55" s="271" t="e">
        <f t="shared" si="84"/>
        <v>#REF!</v>
      </c>
      <c r="CD55" s="176"/>
      <c r="CE55" s="271" t="e">
        <f t="shared" si="68"/>
        <v>#DIV/0!</v>
      </c>
      <c r="CF55" s="176"/>
      <c r="CG55" s="272"/>
      <c r="CH55" s="176"/>
      <c r="CI55" s="272"/>
      <c r="CJ55" s="176"/>
      <c r="CK55" s="273"/>
    </row>
    <row r="56" spans="2:89" s="42" customFormat="1" ht="37.5" hidden="1" customHeight="1">
      <c r="B56" s="247"/>
      <c r="C56" s="270" t="s">
        <v>107</v>
      </c>
      <c r="D56" s="274"/>
      <c r="E56" s="249">
        <f t="shared" ref="E56:E61" si="141">F56+G56</f>
        <v>0</v>
      </c>
      <c r="F56" s="249"/>
      <c r="G56" s="249"/>
      <c r="H56" s="249">
        <f t="shared" ref="H56:H61" si="142">I56+J56</f>
        <v>12766.02542</v>
      </c>
      <c r="I56" s="249">
        <f>L56-F56</f>
        <v>12766.02542</v>
      </c>
      <c r="J56" s="249"/>
      <c r="K56" s="251">
        <f t="shared" si="71"/>
        <v>12766.02542</v>
      </c>
      <c r="L56" s="252">
        <v>12766.02542</v>
      </c>
      <c r="M56" s="252">
        <f t="shared" si="133"/>
        <v>0</v>
      </c>
      <c r="N56" s="251">
        <f t="shared" si="72"/>
        <v>-816.22542000000067</v>
      </c>
      <c r="O56" s="251">
        <f t="shared" si="138"/>
        <v>-816.22542000000067</v>
      </c>
      <c r="P56" s="251"/>
      <c r="Q56" s="249">
        <f t="shared" si="73"/>
        <v>11949.8</v>
      </c>
      <c r="R56" s="249">
        <v>11949.8</v>
      </c>
      <c r="S56" s="249"/>
      <c r="T56" s="252">
        <f t="shared" si="134"/>
        <v>3640.16626</v>
      </c>
      <c r="U56" s="253">
        <f t="shared" si="47"/>
        <v>0.30462152169910794</v>
      </c>
      <c r="V56" s="252">
        <v>3640.16626</v>
      </c>
      <c r="W56" s="253">
        <f t="shared" si="48"/>
        <v>0.30462152169910794</v>
      </c>
      <c r="X56" s="251"/>
      <c r="Y56" s="253" t="e">
        <f t="shared" si="49"/>
        <v>#DIV/0!</v>
      </c>
      <c r="Z56" s="251">
        <f t="shared" si="74"/>
        <v>9125.85916</v>
      </c>
      <c r="AA56" s="253">
        <f t="shared" si="51"/>
        <v>0.76368300389964694</v>
      </c>
      <c r="AB56" s="251">
        <f t="shared" si="101"/>
        <v>9125.85916</v>
      </c>
      <c r="AC56" s="253">
        <f t="shared" si="52"/>
        <v>0.76368300389964694</v>
      </c>
      <c r="AD56" s="251"/>
      <c r="AE56" s="251">
        <f t="shared" ref="AE56:AE61" si="143">AF56+AG56</f>
        <v>0</v>
      </c>
      <c r="AF56" s="251"/>
      <c r="AG56" s="251"/>
      <c r="AH56" s="251">
        <f t="shared" si="76"/>
        <v>0</v>
      </c>
      <c r="AI56" s="251">
        <v>0</v>
      </c>
      <c r="AJ56" s="251"/>
      <c r="AK56" s="251">
        <f t="shared" si="135"/>
        <v>12766.02542</v>
      </c>
      <c r="AL56" s="255" t="e">
        <f t="shared" si="87"/>
        <v>#DIV/0!</v>
      </c>
      <c r="AM56" s="256">
        <f t="shared" si="93"/>
        <v>1.0683045255987549</v>
      </c>
      <c r="AN56" s="252">
        <f t="shared" ref="AN56" si="144">AT56</f>
        <v>12766.02542</v>
      </c>
      <c r="AO56" s="257" t="e">
        <f t="shared" si="77"/>
        <v>#DIV/0!</v>
      </c>
      <c r="AP56" s="256">
        <f t="shared" si="94"/>
        <v>1.0683045255987549</v>
      </c>
      <c r="AQ56" s="252">
        <v>0</v>
      </c>
      <c r="AR56" s="257" t="e">
        <f t="shared" si="57"/>
        <v>#DIV/0!</v>
      </c>
      <c r="AS56" s="257">
        <v>0</v>
      </c>
      <c r="AT56" s="251">
        <f t="shared" si="136"/>
        <v>12766.02542</v>
      </c>
      <c r="AU56" s="259">
        <f t="shared" si="95"/>
        <v>1</v>
      </c>
      <c r="AV56" s="176">
        <v>12766.02542</v>
      </c>
      <c r="AW56" s="261">
        <f t="shared" si="96"/>
        <v>1</v>
      </c>
      <c r="AX56" s="176">
        <v>0</v>
      </c>
      <c r="AY56" s="261">
        <v>0</v>
      </c>
      <c r="AZ56" s="176">
        <f>BB56+BD56</f>
        <v>0</v>
      </c>
      <c r="BA56" s="262">
        <f t="shared" si="97"/>
        <v>0</v>
      </c>
      <c r="BB56" s="176">
        <f>L56-AV56</f>
        <v>0</v>
      </c>
      <c r="BC56" s="262">
        <f t="shared" si="98"/>
        <v>0</v>
      </c>
      <c r="BD56" s="176">
        <f>G56-AX56</f>
        <v>0</v>
      </c>
      <c r="BE56" s="262">
        <v>0</v>
      </c>
      <c r="BF56" s="176">
        <f t="shared" si="137"/>
        <v>11949.8</v>
      </c>
      <c r="BG56" s="262">
        <f t="shared" si="88"/>
        <v>0.93606268253850922</v>
      </c>
      <c r="BH56" s="176">
        <f>'[1]тыс. руб 1 знак'!$AV$53</f>
        <v>11949.8</v>
      </c>
      <c r="BI56" s="262">
        <f t="shared" si="89"/>
        <v>0.93606268253850922</v>
      </c>
      <c r="BJ56" s="260">
        <v>0</v>
      </c>
      <c r="BK56" s="262">
        <v>0</v>
      </c>
      <c r="BL56" s="260">
        <f t="shared" si="126"/>
        <v>816.22542000000067</v>
      </c>
      <c r="BM56" s="262">
        <f t="shared" si="90"/>
        <v>6.3937317461490742E-2</v>
      </c>
      <c r="BN56" s="260">
        <f t="shared" si="110"/>
        <v>816.22542000000067</v>
      </c>
      <c r="BO56" s="262">
        <f t="shared" si="91"/>
        <v>6.3937317461490742E-2</v>
      </c>
      <c r="BP56" s="260">
        <v>0</v>
      </c>
      <c r="BQ56" s="262">
        <v>0</v>
      </c>
      <c r="BR56" s="176">
        <f t="shared" si="127"/>
        <v>816.22542000000067</v>
      </c>
      <c r="BS56" s="263">
        <f t="shared" si="99"/>
        <v>6.3937317461490742E-2</v>
      </c>
      <c r="BT56" s="176">
        <f t="shared" si="131"/>
        <v>816.22542000000067</v>
      </c>
      <c r="BU56" s="263">
        <f t="shared" si="105"/>
        <v>6.3937317461490742E-2</v>
      </c>
      <c r="BV56" s="260">
        <v>0</v>
      </c>
      <c r="BW56" s="263">
        <v>0</v>
      </c>
      <c r="BX56" s="302"/>
      <c r="BY56" s="271" t="e">
        <f t="shared" si="132"/>
        <v>#DIV/0!</v>
      </c>
      <c r="BZ56" s="176" t="e">
        <f t="shared" si="82"/>
        <v>#REF!</v>
      </c>
      <c r="CA56" s="271" t="e">
        <f t="shared" si="83"/>
        <v>#REF!</v>
      </c>
      <c r="CB56" s="176" t="e">
        <f>#REF!-#REF!</f>
        <v>#REF!</v>
      </c>
      <c r="CC56" s="271" t="e">
        <f t="shared" si="84"/>
        <v>#REF!</v>
      </c>
      <c r="CD56" s="176"/>
      <c r="CE56" s="271" t="e">
        <f t="shared" si="68"/>
        <v>#DIV/0!</v>
      </c>
      <c r="CF56" s="176">
        <f t="shared" ref="CF56:CF61" si="145">CG56+CH56</f>
        <v>0</v>
      </c>
      <c r="CG56" s="272"/>
      <c r="CH56" s="176">
        <f t="shared" ref="CH56:CH61" si="146">CI56+CJ56</f>
        <v>0</v>
      </c>
      <c r="CI56" s="272"/>
      <c r="CJ56" s="176">
        <f t="shared" ref="CJ56:CJ61" si="147">CK56+CL56</f>
        <v>0</v>
      </c>
      <c r="CK56" s="273"/>
    </row>
    <row r="57" spans="2:89" s="269" customFormat="1" ht="95.25" customHeight="1">
      <c r="B57" s="275" t="s">
        <v>108</v>
      </c>
      <c r="C57" s="248" t="s">
        <v>109</v>
      </c>
      <c r="D57" s="274" t="s">
        <v>110</v>
      </c>
      <c r="E57" s="249" t="e">
        <f t="shared" si="141"/>
        <v>#REF!</v>
      </c>
      <c r="F57" s="250" t="e">
        <f>F58+#REF!</f>
        <v>#REF!</v>
      </c>
      <c r="G57" s="250" t="e">
        <f>G58+#REF!</f>
        <v>#REF!</v>
      </c>
      <c r="H57" s="249" t="e">
        <f t="shared" si="142"/>
        <v>#REF!</v>
      </c>
      <c r="I57" s="250" t="e">
        <f>I58+#REF!</f>
        <v>#REF!</v>
      </c>
      <c r="J57" s="250"/>
      <c r="K57" s="251">
        <f t="shared" si="71"/>
        <v>120301.32247</v>
      </c>
      <c r="L57" s="251">
        <f>L58</f>
        <v>120301.32247</v>
      </c>
      <c r="M57" s="252">
        <f>M58</f>
        <v>0</v>
      </c>
      <c r="N57" s="251">
        <f>N58</f>
        <v>0</v>
      </c>
      <c r="O57" s="252">
        <f>O58</f>
        <v>0</v>
      </c>
      <c r="P57" s="252"/>
      <c r="Q57" s="249">
        <f>Q58</f>
        <v>120301.32247</v>
      </c>
      <c r="R57" s="250">
        <f>R58</f>
        <v>120301.32247</v>
      </c>
      <c r="S57" s="250">
        <f>S58</f>
        <v>0</v>
      </c>
      <c r="T57" s="252">
        <f>T58</f>
        <v>291434.75443000003</v>
      </c>
      <c r="U57" s="253">
        <f t="shared" si="47"/>
        <v>2.4225399060153827</v>
      </c>
      <c r="V57" s="252">
        <f>V58</f>
        <v>291434.75443000003</v>
      </c>
      <c r="W57" s="253">
        <f t="shared" si="48"/>
        <v>2.4225399060153827</v>
      </c>
      <c r="X57" s="252">
        <v>0</v>
      </c>
      <c r="Y57" s="253">
        <v>0</v>
      </c>
      <c r="Z57" s="252">
        <f>Z58</f>
        <v>-171133.43196000002</v>
      </c>
      <c r="AA57" s="253">
        <f t="shared" si="51"/>
        <v>-1.4225399060153825</v>
      </c>
      <c r="AB57" s="251">
        <f t="shared" si="101"/>
        <v>-171133.43196000002</v>
      </c>
      <c r="AC57" s="254">
        <f t="shared" si="52"/>
        <v>-1.4225399060153825</v>
      </c>
      <c r="AD57" s="252">
        <v>0</v>
      </c>
      <c r="AE57" s="251" t="e">
        <f t="shared" si="143"/>
        <v>#REF!</v>
      </c>
      <c r="AF57" s="252" t="e">
        <f>AF58+#REF!</f>
        <v>#REF!</v>
      </c>
      <c r="AG57" s="252" t="e">
        <f>AG58+#REF!</f>
        <v>#REF!</v>
      </c>
      <c r="AH57" s="251" t="e">
        <f t="shared" si="76"/>
        <v>#REF!</v>
      </c>
      <c r="AI57" s="252" t="e">
        <f>AI58+#REF!</f>
        <v>#REF!</v>
      </c>
      <c r="AJ57" s="252" t="e">
        <f>AJ58+#REF!</f>
        <v>#REF!</v>
      </c>
      <c r="AK57" s="252">
        <f>AN57</f>
        <v>56378.02233</v>
      </c>
      <c r="AL57" s="255" t="e">
        <f t="shared" si="87"/>
        <v>#REF!</v>
      </c>
      <c r="AM57" s="256">
        <f t="shared" si="93"/>
        <v>0.46864008784325045</v>
      </c>
      <c r="AN57" s="252">
        <f>AN58+AN59</f>
        <v>56378.02233</v>
      </c>
      <c r="AO57" s="257" t="e">
        <f t="shared" si="77"/>
        <v>#REF!</v>
      </c>
      <c r="AP57" s="256">
        <f t="shared" si="94"/>
        <v>0.46864008784325045</v>
      </c>
      <c r="AQ57" s="252">
        <v>0</v>
      </c>
      <c r="AR57" s="258" t="e">
        <f t="shared" si="57"/>
        <v>#REF!</v>
      </c>
      <c r="AS57" s="258">
        <v>0</v>
      </c>
      <c r="AT57" s="252">
        <f>AT58</f>
        <v>94995.617209999997</v>
      </c>
      <c r="AU57" s="259">
        <f t="shared" si="95"/>
        <v>0.78964732273570326</v>
      </c>
      <c r="AV57" s="260">
        <f>AV58</f>
        <v>94995.617209999997</v>
      </c>
      <c r="AW57" s="261">
        <f t="shared" si="96"/>
        <v>0.78964732273570326</v>
      </c>
      <c r="AX57" s="176">
        <v>0</v>
      </c>
      <c r="AY57" s="261">
        <v>0</v>
      </c>
      <c r="AZ57" s="260">
        <f>AZ58</f>
        <v>25305.705260000006</v>
      </c>
      <c r="BA57" s="262">
        <f t="shared" si="97"/>
        <v>0.21035267726429679</v>
      </c>
      <c r="BB57" s="260">
        <f>BB58</f>
        <v>25305.705260000002</v>
      </c>
      <c r="BC57" s="262">
        <f t="shared" si="98"/>
        <v>0.21035267726429677</v>
      </c>
      <c r="BD57" s="260">
        <v>0</v>
      </c>
      <c r="BE57" s="262">
        <v>0</v>
      </c>
      <c r="BF57" s="176">
        <f t="shared" ref="BF57:BV57" si="148">BF58</f>
        <v>94995.617209999997</v>
      </c>
      <c r="BG57" s="262">
        <f t="shared" si="88"/>
        <v>1</v>
      </c>
      <c r="BH57" s="260">
        <f t="shared" si="148"/>
        <v>94995.617209999997</v>
      </c>
      <c r="BI57" s="262">
        <f t="shared" si="89"/>
        <v>1</v>
      </c>
      <c r="BJ57" s="260">
        <f t="shared" si="148"/>
        <v>0</v>
      </c>
      <c r="BK57" s="262">
        <v>0</v>
      </c>
      <c r="BL57" s="260">
        <f t="shared" si="148"/>
        <v>0</v>
      </c>
      <c r="BM57" s="262">
        <f t="shared" si="90"/>
        <v>0</v>
      </c>
      <c r="BN57" s="260">
        <f t="shared" si="148"/>
        <v>0</v>
      </c>
      <c r="BO57" s="262">
        <f t="shared" si="91"/>
        <v>0</v>
      </c>
      <c r="BP57" s="176">
        <f t="shared" si="148"/>
        <v>0</v>
      </c>
      <c r="BQ57" s="262">
        <v>0</v>
      </c>
      <c r="BR57" s="176">
        <f t="shared" si="148"/>
        <v>25305.705260000002</v>
      </c>
      <c r="BS57" s="263">
        <f t="shared" si="99"/>
        <v>0.21035267726429677</v>
      </c>
      <c r="BT57" s="176">
        <f t="shared" si="148"/>
        <v>25305.705260000002</v>
      </c>
      <c r="BU57" s="263">
        <f t="shared" si="105"/>
        <v>0.21035267726429677</v>
      </c>
      <c r="BV57" s="176">
        <f t="shared" si="148"/>
        <v>0</v>
      </c>
      <c r="BW57" s="263">
        <v>0</v>
      </c>
      <c r="BX57" s="302" t="s">
        <v>88</v>
      </c>
      <c r="BY57" s="265">
        <v>0</v>
      </c>
      <c r="BZ57" s="260" t="e">
        <f>BZ58</f>
        <v>#REF!</v>
      </c>
      <c r="CA57" s="265" t="e">
        <f t="shared" si="83"/>
        <v>#REF!</v>
      </c>
      <c r="CB57" s="277" t="e">
        <f>#REF!-#REF!</f>
        <v>#REF!</v>
      </c>
      <c r="CC57" s="265" t="e">
        <f t="shared" si="84"/>
        <v>#REF!</v>
      </c>
      <c r="CD57" s="260">
        <v>0</v>
      </c>
      <c r="CE57" s="265" t="e">
        <f t="shared" si="68"/>
        <v>#DIV/0!</v>
      </c>
      <c r="CF57" s="176" t="s">
        <v>111</v>
      </c>
      <c r="CG57" s="176" t="s">
        <v>81</v>
      </c>
      <c r="CH57" s="176">
        <f t="shared" si="146"/>
        <v>0</v>
      </c>
      <c r="CI57" s="267"/>
      <c r="CJ57" s="176">
        <f t="shared" si="147"/>
        <v>0</v>
      </c>
      <c r="CK57" s="268"/>
    </row>
    <row r="58" spans="2:89" s="42" customFormat="1" ht="19.5" hidden="1" customHeight="1">
      <c r="B58" s="247"/>
      <c r="C58" s="270" t="s">
        <v>90</v>
      </c>
      <c r="D58" s="274"/>
      <c r="E58" s="249">
        <f t="shared" si="141"/>
        <v>319554.01514999999</v>
      </c>
      <c r="F58" s="250">
        <f>F60+F61</f>
        <v>319554.01514999999</v>
      </c>
      <c r="G58" s="250">
        <f>G60+G61</f>
        <v>0</v>
      </c>
      <c r="H58" s="249">
        <f t="shared" si="142"/>
        <v>-199252.69268000001</v>
      </c>
      <c r="I58" s="250">
        <f>I60+I61</f>
        <v>-199252.69268000001</v>
      </c>
      <c r="J58" s="250"/>
      <c r="K58" s="251">
        <f t="shared" si="71"/>
        <v>120301.32247</v>
      </c>
      <c r="L58" s="251">
        <f>L60+L61+L62</f>
        <v>120301.32247</v>
      </c>
      <c r="M58" s="252">
        <f>M60+M61</f>
        <v>0</v>
      </c>
      <c r="N58" s="251">
        <f>O58</f>
        <v>0</v>
      </c>
      <c r="O58" s="252">
        <f>O60+O61</f>
        <v>0</v>
      </c>
      <c r="P58" s="252"/>
      <c r="Q58" s="249">
        <f t="shared" ref="Q58:Q62" si="149">R58+S58</f>
        <v>120301.32247</v>
      </c>
      <c r="R58" s="249">
        <f>R60+R61+R62</f>
        <v>120301.32247</v>
      </c>
      <c r="S58" s="250">
        <f>S60+S61</f>
        <v>0</v>
      </c>
      <c r="T58" s="252">
        <f>V58+X58</f>
        <v>291434.75443000003</v>
      </c>
      <c r="U58" s="253">
        <f t="shared" si="47"/>
        <v>2.4225399060153827</v>
      </c>
      <c r="V58" s="252">
        <f>V60+V61+V62</f>
        <v>291434.75443000003</v>
      </c>
      <c r="W58" s="253">
        <f t="shared" si="48"/>
        <v>2.4225399060153827</v>
      </c>
      <c r="X58" s="252">
        <v>0</v>
      </c>
      <c r="Y58" s="253" t="e">
        <f t="shared" si="49"/>
        <v>#DIV/0!</v>
      </c>
      <c r="Z58" s="251">
        <f t="shared" ref="Z58:Z73" si="150">AB58+AD58</f>
        <v>-171133.43196000002</v>
      </c>
      <c r="AA58" s="253">
        <f t="shared" si="51"/>
        <v>-1.4225399060153825</v>
      </c>
      <c r="AB58" s="251">
        <f t="shared" si="101"/>
        <v>-171133.43196000002</v>
      </c>
      <c r="AC58" s="253">
        <f t="shared" si="52"/>
        <v>-1.4225399060153825</v>
      </c>
      <c r="AD58" s="252">
        <f>AD60+AD61</f>
        <v>0</v>
      </c>
      <c r="AE58" s="251">
        <f t="shared" si="143"/>
        <v>0</v>
      </c>
      <c r="AF58" s="252">
        <f>AF60+AF61</f>
        <v>0</v>
      </c>
      <c r="AG58" s="252">
        <f>AG60+AG61</f>
        <v>0</v>
      </c>
      <c r="AH58" s="252">
        <f>AH60+AH61+AH62</f>
        <v>106654.12508</v>
      </c>
      <c r="AI58" s="252">
        <f>AI60+AI61+AI62</f>
        <v>106654.12508</v>
      </c>
      <c r="AJ58" s="252">
        <f>AJ60+AJ61</f>
        <v>0</v>
      </c>
      <c r="AK58" s="252">
        <f>AK60+AK61+AK62</f>
        <v>39464.61563</v>
      </c>
      <c r="AL58" s="255">
        <f t="shared" si="87"/>
        <v>0.37002427801454524</v>
      </c>
      <c r="AM58" s="256">
        <f t="shared" si="93"/>
        <v>0.32804806148196286</v>
      </c>
      <c r="AN58" s="252">
        <f>AN60+AN61+AN62</f>
        <v>39464.61563</v>
      </c>
      <c r="AO58" s="257">
        <f t="shared" si="77"/>
        <v>0.37002427801454524</v>
      </c>
      <c r="AP58" s="256">
        <f t="shared" si="94"/>
        <v>0.32804806148196286</v>
      </c>
      <c r="AQ58" s="252">
        <v>0</v>
      </c>
      <c r="AR58" s="257" t="e">
        <f t="shared" si="57"/>
        <v>#DIV/0!</v>
      </c>
      <c r="AS58" s="257">
        <v>0</v>
      </c>
      <c r="AT58" s="252">
        <f>AT60+AT61+AT62</f>
        <v>94995.617209999997</v>
      </c>
      <c r="AU58" s="259">
        <f t="shared" si="95"/>
        <v>0.78964732273570326</v>
      </c>
      <c r="AV58" s="260">
        <f>AV60+AV61+AV62</f>
        <v>94995.617209999997</v>
      </c>
      <c r="AW58" s="261">
        <f t="shared" si="96"/>
        <v>0.78964732273570326</v>
      </c>
      <c r="AX58" s="176">
        <v>0</v>
      </c>
      <c r="AY58" s="261">
        <v>0</v>
      </c>
      <c r="AZ58" s="260">
        <f>AZ60+AZ61</f>
        <v>25305.705260000006</v>
      </c>
      <c r="BA58" s="262">
        <f t="shared" si="97"/>
        <v>0.21035267726429679</v>
      </c>
      <c r="BB58" s="176">
        <f>R58-AV58</f>
        <v>25305.705260000002</v>
      </c>
      <c r="BC58" s="262">
        <f t="shared" si="98"/>
        <v>0.21035267726429677</v>
      </c>
      <c r="BD58" s="260">
        <f>BD60+BD61</f>
        <v>0</v>
      </c>
      <c r="BE58" s="262">
        <v>0</v>
      </c>
      <c r="BF58" s="176">
        <f>BH58+BJ58</f>
        <v>94995.617209999997</v>
      </c>
      <c r="BG58" s="262">
        <f t="shared" si="88"/>
        <v>1</v>
      </c>
      <c r="BH58" s="260">
        <f>BH60+BH61+BH62</f>
        <v>94995.617209999997</v>
      </c>
      <c r="BI58" s="262">
        <f t="shared" si="89"/>
        <v>1</v>
      </c>
      <c r="BJ58" s="260">
        <f>BJ60+BJ61</f>
        <v>0</v>
      </c>
      <c r="BK58" s="262">
        <v>0</v>
      </c>
      <c r="BL58" s="260">
        <f t="shared" si="126"/>
        <v>0</v>
      </c>
      <c r="BM58" s="262">
        <f t="shared" si="90"/>
        <v>0</v>
      </c>
      <c r="BN58" s="260">
        <f t="shared" si="110"/>
        <v>0</v>
      </c>
      <c r="BO58" s="262">
        <f t="shared" si="91"/>
        <v>0</v>
      </c>
      <c r="BP58" s="260">
        <f>BP60+BP61</f>
        <v>0</v>
      </c>
      <c r="BQ58" s="262">
        <v>0</v>
      </c>
      <c r="BR58" s="176">
        <f t="shared" ref="BR58" si="151">BT58+BV58</f>
        <v>25305.705260000002</v>
      </c>
      <c r="BS58" s="263">
        <f t="shared" si="99"/>
        <v>0.21035267726429677</v>
      </c>
      <c r="BT58" s="176">
        <f t="shared" ref="BT58:BT62" si="152">L58-BH58</f>
        <v>25305.705260000002</v>
      </c>
      <c r="BU58" s="263">
        <f t="shared" si="105"/>
        <v>0.21035267726429677</v>
      </c>
      <c r="BV58" s="260">
        <f>BV60+BV61</f>
        <v>0</v>
      </c>
      <c r="BW58" s="263">
        <v>0</v>
      </c>
      <c r="BX58" s="303"/>
      <c r="BY58" s="271" t="e">
        <f>AD58/S58</f>
        <v>#DIV/0!</v>
      </c>
      <c r="BZ58" s="176" t="e">
        <f t="shared" ref="BZ58:BZ73" si="153">CB58+CD58</f>
        <v>#REF!</v>
      </c>
      <c r="CA58" s="271" t="e">
        <f t="shared" si="83"/>
        <v>#REF!</v>
      </c>
      <c r="CB58" s="176" t="e">
        <f>#REF!-#REF!</f>
        <v>#REF!</v>
      </c>
      <c r="CC58" s="271" t="e">
        <f t="shared" si="84"/>
        <v>#REF!</v>
      </c>
      <c r="CD58" s="260">
        <f>CD60+CD61</f>
        <v>0</v>
      </c>
      <c r="CE58" s="271" t="e">
        <f t="shared" si="68"/>
        <v>#DIV/0!</v>
      </c>
      <c r="CF58" s="176">
        <f t="shared" si="145"/>
        <v>0</v>
      </c>
      <c r="CG58" s="272"/>
      <c r="CH58" s="176">
        <f t="shared" si="146"/>
        <v>0</v>
      </c>
      <c r="CI58" s="272"/>
      <c r="CJ58" s="176">
        <f t="shared" si="147"/>
        <v>0</v>
      </c>
      <c r="CK58" s="273"/>
    </row>
    <row r="59" spans="2:89" s="104" customFormat="1" ht="39.75" hidden="1" customHeight="1">
      <c r="B59" s="278"/>
      <c r="C59" s="296" t="s">
        <v>91</v>
      </c>
      <c r="D59" s="297"/>
      <c r="E59" s="280"/>
      <c r="F59" s="281"/>
      <c r="G59" s="281"/>
      <c r="H59" s="280"/>
      <c r="I59" s="281"/>
      <c r="J59" s="281"/>
      <c r="K59" s="282">
        <v>0</v>
      </c>
      <c r="L59" s="282">
        <v>0</v>
      </c>
      <c r="M59" s="283">
        <v>0</v>
      </c>
      <c r="N59" s="282"/>
      <c r="O59" s="283"/>
      <c r="P59" s="283"/>
      <c r="Q59" s="280">
        <f t="shared" si="149"/>
        <v>0</v>
      </c>
      <c r="R59" s="280">
        <v>0</v>
      </c>
      <c r="S59" s="281"/>
      <c r="T59" s="283"/>
      <c r="U59" s="284"/>
      <c r="V59" s="283"/>
      <c r="W59" s="284"/>
      <c r="X59" s="283"/>
      <c r="Y59" s="284"/>
      <c r="Z59" s="282"/>
      <c r="AA59" s="284"/>
      <c r="AB59" s="282"/>
      <c r="AC59" s="284"/>
      <c r="AD59" s="283"/>
      <c r="AE59" s="282"/>
      <c r="AF59" s="283"/>
      <c r="AG59" s="283"/>
      <c r="AH59" s="283"/>
      <c r="AI59" s="283"/>
      <c r="AJ59" s="283"/>
      <c r="AK59" s="283">
        <f>AN59+AQ59</f>
        <v>16913.4067</v>
      </c>
      <c r="AL59" s="298"/>
      <c r="AM59" s="286">
        <v>0</v>
      </c>
      <c r="AN59" s="283">
        <v>16913.4067</v>
      </c>
      <c r="AO59" s="287"/>
      <c r="AP59" s="286">
        <v>0</v>
      </c>
      <c r="AQ59" s="299">
        <v>0</v>
      </c>
      <c r="AR59" s="287"/>
      <c r="AS59" s="287">
        <v>0</v>
      </c>
      <c r="AT59" s="283">
        <v>0</v>
      </c>
      <c r="AU59" s="259" t="e">
        <f t="shared" si="95"/>
        <v>#DIV/0!</v>
      </c>
      <c r="AV59" s="288">
        <v>0</v>
      </c>
      <c r="AW59" s="261" t="e">
        <f t="shared" si="96"/>
        <v>#DIV/0!</v>
      </c>
      <c r="AX59" s="161">
        <v>0</v>
      </c>
      <c r="AY59" s="289">
        <v>0</v>
      </c>
      <c r="AZ59" s="288"/>
      <c r="BA59" s="262" t="e">
        <f t="shared" si="97"/>
        <v>#DIV/0!</v>
      </c>
      <c r="BB59" s="176"/>
      <c r="BC59" s="262" t="e">
        <f t="shared" si="98"/>
        <v>#DIV/0!</v>
      </c>
      <c r="BD59" s="288">
        <v>0</v>
      </c>
      <c r="BE59" s="165"/>
      <c r="BF59" s="152">
        <v>0</v>
      </c>
      <c r="BG59" s="262" t="e">
        <f t="shared" si="88"/>
        <v>#DIV/0!</v>
      </c>
      <c r="BH59" s="288">
        <v>0</v>
      </c>
      <c r="BI59" s="262" t="e">
        <f t="shared" si="89"/>
        <v>#DIV/0!</v>
      </c>
      <c r="BJ59" s="288">
        <v>0</v>
      </c>
      <c r="BK59" s="262">
        <v>0</v>
      </c>
      <c r="BL59" s="260">
        <v>0</v>
      </c>
      <c r="BM59" s="262" t="e">
        <f t="shared" si="90"/>
        <v>#DIV/0!</v>
      </c>
      <c r="BN59" s="260">
        <f t="shared" si="110"/>
        <v>0</v>
      </c>
      <c r="BO59" s="262" t="e">
        <f t="shared" si="91"/>
        <v>#DIV/0!</v>
      </c>
      <c r="BP59" s="288">
        <v>0</v>
      </c>
      <c r="BQ59" s="262">
        <v>0</v>
      </c>
      <c r="BR59" s="152">
        <v>0</v>
      </c>
      <c r="BS59" s="263" t="e">
        <f t="shared" si="99"/>
        <v>#DIV/0!</v>
      </c>
      <c r="BT59" s="176">
        <f t="shared" si="152"/>
        <v>0</v>
      </c>
      <c r="BU59" s="263" t="e">
        <f t="shared" si="105"/>
        <v>#DIV/0!</v>
      </c>
      <c r="BV59" s="288">
        <v>0</v>
      </c>
      <c r="BW59" s="263">
        <v>0</v>
      </c>
      <c r="BX59" s="303"/>
      <c r="BY59" s="290"/>
      <c r="BZ59" s="152"/>
      <c r="CA59" s="290"/>
      <c r="CB59" s="152"/>
      <c r="CC59" s="290"/>
      <c r="CD59" s="288"/>
      <c r="CE59" s="290"/>
      <c r="CF59" s="152"/>
      <c r="CG59" s="300"/>
      <c r="CH59" s="152"/>
      <c r="CI59" s="300"/>
      <c r="CJ59" s="152"/>
      <c r="CK59" s="301"/>
    </row>
    <row r="60" spans="2:89" s="42" customFormat="1" ht="19.5" hidden="1" customHeight="1">
      <c r="B60" s="247"/>
      <c r="C60" s="270" t="s">
        <v>82</v>
      </c>
      <c r="D60" s="274"/>
      <c r="E60" s="249">
        <f t="shared" si="141"/>
        <v>272788.64574000001</v>
      </c>
      <c r="F60" s="250">
        <v>272788.64574000001</v>
      </c>
      <c r="G60" s="250"/>
      <c r="H60" s="249">
        <f t="shared" si="142"/>
        <v>-158174.39246</v>
      </c>
      <c r="I60" s="249">
        <f>L60-F60</f>
        <v>-158174.39246</v>
      </c>
      <c r="J60" s="249"/>
      <c r="K60" s="251">
        <f t="shared" si="71"/>
        <v>114614.25328</v>
      </c>
      <c r="L60" s="251">
        <f>R60</f>
        <v>114614.25328</v>
      </c>
      <c r="M60" s="252">
        <v>0</v>
      </c>
      <c r="N60" s="251">
        <f t="shared" ref="N60:N61" si="154">O60+P60</f>
        <v>0</v>
      </c>
      <c r="O60" s="251">
        <f>R60-L60</f>
        <v>0</v>
      </c>
      <c r="P60" s="251"/>
      <c r="Q60" s="249">
        <f t="shared" si="149"/>
        <v>114614.25328</v>
      </c>
      <c r="R60" s="249">
        <v>114614.25328</v>
      </c>
      <c r="S60" s="250"/>
      <c r="T60" s="252">
        <f t="shared" ref="T60:T62" si="155">V60+X60</f>
        <v>263206.82626</v>
      </c>
      <c r="U60" s="253">
        <f t="shared" si="47"/>
        <v>2.2964580645741481</v>
      </c>
      <c r="V60" s="251">
        <v>263206.82626</v>
      </c>
      <c r="W60" s="253">
        <f t="shared" si="48"/>
        <v>2.2964580645741481</v>
      </c>
      <c r="X60" s="252"/>
      <c r="Y60" s="253" t="e">
        <f t="shared" si="49"/>
        <v>#DIV/0!</v>
      </c>
      <c r="Z60" s="251">
        <f t="shared" si="150"/>
        <v>-148592.57298</v>
      </c>
      <c r="AA60" s="253">
        <f t="shared" si="51"/>
        <v>-1.2964580645741479</v>
      </c>
      <c r="AB60" s="251">
        <f t="shared" si="101"/>
        <v>-148592.57298</v>
      </c>
      <c r="AC60" s="253">
        <f t="shared" si="52"/>
        <v>-1.2964580645741479</v>
      </c>
      <c r="AD60" s="252"/>
      <c r="AE60" s="251">
        <f t="shared" si="143"/>
        <v>0</v>
      </c>
      <c r="AF60" s="252"/>
      <c r="AG60" s="252"/>
      <c r="AH60" s="251">
        <f t="shared" ref="AH60:AH67" si="156">AI60+AJ60</f>
        <v>86549.994189999998</v>
      </c>
      <c r="AI60" s="252">
        <v>86549.994189999998</v>
      </c>
      <c r="AJ60" s="252"/>
      <c r="AK60" s="251">
        <f>AN60+AQ60</f>
        <v>39464.61563</v>
      </c>
      <c r="AL60" s="255">
        <f t="shared" si="87"/>
        <v>0.45597479236526339</v>
      </c>
      <c r="AM60" s="256">
        <f t="shared" si="93"/>
        <v>0.34432554853006669</v>
      </c>
      <c r="AN60" s="252">
        <v>39464.61563</v>
      </c>
      <c r="AO60" s="257">
        <f t="shared" si="77"/>
        <v>0.45597479236526339</v>
      </c>
      <c r="AP60" s="256">
        <f t="shared" si="94"/>
        <v>0.34432554853006669</v>
      </c>
      <c r="AQ60" s="252">
        <v>0</v>
      </c>
      <c r="AR60" s="257" t="e">
        <f t="shared" si="57"/>
        <v>#DIV/0!</v>
      </c>
      <c r="AS60" s="257">
        <v>0</v>
      </c>
      <c r="AT60" s="251">
        <f>AV60+AX60</f>
        <v>93353.198109999998</v>
      </c>
      <c r="AU60" s="259">
        <f t="shared" si="95"/>
        <v>0.81449902990634393</v>
      </c>
      <c r="AV60" s="176">
        <v>93353.198109999998</v>
      </c>
      <c r="AW60" s="261">
        <f t="shared" si="96"/>
        <v>0.81449902990634393</v>
      </c>
      <c r="AX60" s="176">
        <v>0</v>
      </c>
      <c r="AY60" s="261">
        <v>0</v>
      </c>
      <c r="AZ60" s="176">
        <f>BB60+BD60</f>
        <v>21261.055170000007</v>
      </c>
      <c r="BA60" s="262">
        <f t="shared" si="97"/>
        <v>0.1855009700936561</v>
      </c>
      <c r="BB60" s="176">
        <f>L60-AV60</f>
        <v>21261.055170000007</v>
      </c>
      <c r="BC60" s="262">
        <f t="shared" si="98"/>
        <v>0.1855009700936561</v>
      </c>
      <c r="BD60" s="176">
        <f>G60-AX60</f>
        <v>0</v>
      </c>
      <c r="BE60" s="262">
        <v>0</v>
      </c>
      <c r="BF60" s="176">
        <f t="shared" ref="BF60:BF67" si="157">BH60+BJ60</f>
        <v>93353.198109999998</v>
      </c>
      <c r="BG60" s="262">
        <f t="shared" si="88"/>
        <v>1</v>
      </c>
      <c r="BH60" s="260">
        <v>93353.198109999998</v>
      </c>
      <c r="BI60" s="262">
        <f t="shared" si="89"/>
        <v>1</v>
      </c>
      <c r="BJ60" s="260">
        <v>0</v>
      </c>
      <c r="BK60" s="262">
        <v>0</v>
      </c>
      <c r="BL60" s="260">
        <f t="shared" si="126"/>
        <v>0</v>
      </c>
      <c r="BM60" s="262">
        <f t="shared" si="90"/>
        <v>0</v>
      </c>
      <c r="BN60" s="260">
        <f t="shared" si="110"/>
        <v>0</v>
      </c>
      <c r="BO60" s="262">
        <f t="shared" si="91"/>
        <v>0</v>
      </c>
      <c r="BP60" s="260">
        <v>0</v>
      </c>
      <c r="BQ60" s="262">
        <v>0</v>
      </c>
      <c r="BR60" s="176">
        <f t="shared" ref="BR60:BR61" si="158">BT60+BV60</f>
        <v>21261.055170000007</v>
      </c>
      <c r="BS60" s="263">
        <f t="shared" si="99"/>
        <v>0.1855009700936561</v>
      </c>
      <c r="BT60" s="176">
        <f t="shared" si="152"/>
        <v>21261.055170000007</v>
      </c>
      <c r="BU60" s="263">
        <f t="shared" si="105"/>
        <v>0.1855009700936561</v>
      </c>
      <c r="BV60" s="260">
        <v>0</v>
      </c>
      <c r="BW60" s="263">
        <v>0</v>
      </c>
      <c r="BX60" s="303"/>
      <c r="BY60" s="271" t="e">
        <f>AD60/S60</f>
        <v>#DIV/0!</v>
      </c>
      <c r="BZ60" s="176" t="e">
        <f t="shared" si="153"/>
        <v>#REF!</v>
      </c>
      <c r="CA60" s="271" t="e">
        <f t="shared" ref="CA60:CA69" si="159">BZ60/BT60</f>
        <v>#REF!</v>
      </c>
      <c r="CB60" s="176" t="e">
        <f>#REF!-#REF!</f>
        <v>#REF!</v>
      </c>
      <c r="CC60" s="271" t="e">
        <f t="shared" ref="CC60:CC69" si="160">CB60/BV60</f>
        <v>#REF!</v>
      </c>
      <c r="CD60" s="260"/>
      <c r="CE60" s="271" t="e">
        <f t="shared" si="68"/>
        <v>#DIV/0!</v>
      </c>
      <c r="CF60" s="176">
        <f t="shared" si="145"/>
        <v>0</v>
      </c>
      <c r="CG60" s="272"/>
      <c r="CH60" s="176">
        <f t="shared" si="146"/>
        <v>0</v>
      </c>
      <c r="CI60" s="272"/>
      <c r="CJ60" s="176">
        <f t="shared" si="147"/>
        <v>0</v>
      </c>
      <c r="CK60" s="273"/>
    </row>
    <row r="61" spans="2:89" s="42" customFormat="1" ht="19.5" hidden="1" customHeight="1">
      <c r="B61" s="247"/>
      <c r="C61" s="270" t="s">
        <v>83</v>
      </c>
      <c r="D61" s="274"/>
      <c r="E61" s="249">
        <f t="shared" si="141"/>
        <v>46765.369409999999</v>
      </c>
      <c r="F61" s="250">
        <v>46765.369409999999</v>
      </c>
      <c r="G61" s="250"/>
      <c r="H61" s="249">
        <f t="shared" si="142"/>
        <v>-41078.300219999997</v>
      </c>
      <c r="I61" s="249">
        <f>L61-F61</f>
        <v>-41078.300219999997</v>
      </c>
      <c r="J61" s="249"/>
      <c r="K61" s="251">
        <f t="shared" si="71"/>
        <v>5687.0691900000002</v>
      </c>
      <c r="L61" s="251">
        <f>R61</f>
        <v>5687.0691900000002</v>
      </c>
      <c r="M61" s="252">
        <v>0</v>
      </c>
      <c r="N61" s="251">
        <f t="shared" si="154"/>
        <v>0</v>
      </c>
      <c r="O61" s="251">
        <f>R61-L61</f>
        <v>0</v>
      </c>
      <c r="P61" s="251"/>
      <c r="Q61" s="249">
        <f t="shared" si="149"/>
        <v>5687.0691900000002</v>
      </c>
      <c r="R61" s="249">
        <v>5687.0691900000002</v>
      </c>
      <c r="S61" s="250"/>
      <c r="T61" s="252">
        <f t="shared" si="155"/>
        <v>28227.923490000001</v>
      </c>
      <c r="U61" s="253">
        <f t="shared" si="47"/>
        <v>4.9635273542363922</v>
      </c>
      <c r="V61" s="251">
        <v>28227.923490000001</v>
      </c>
      <c r="W61" s="253">
        <f t="shared" si="48"/>
        <v>4.9635273542363922</v>
      </c>
      <c r="X61" s="252"/>
      <c r="Y61" s="253" t="e">
        <f t="shared" si="49"/>
        <v>#DIV/0!</v>
      </c>
      <c r="Z61" s="251">
        <f t="shared" si="150"/>
        <v>-22540.854299999999</v>
      </c>
      <c r="AA61" s="253">
        <f t="shared" si="51"/>
        <v>-3.9635273542363914</v>
      </c>
      <c r="AB61" s="251">
        <f t="shared" si="101"/>
        <v>-22540.854299999999</v>
      </c>
      <c r="AC61" s="253">
        <f t="shared" si="52"/>
        <v>-3.9635273542363914</v>
      </c>
      <c r="AD61" s="252"/>
      <c r="AE61" s="251">
        <f t="shared" si="143"/>
        <v>0</v>
      </c>
      <c r="AF61" s="252"/>
      <c r="AG61" s="252"/>
      <c r="AH61" s="251">
        <f t="shared" si="156"/>
        <v>20104.123869999999</v>
      </c>
      <c r="AI61" s="252">
        <f>20104.13089-AI62</f>
        <v>20104.123869999999</v>
      </c>
      <c r="AJ61" s="252"/>
      <c r="AK61" s="251">
        <f>AN61+AQ61</f>
        <v>0</v>
      </c>
      <c r="AL61" s="255">
        <f t="shared" si="87"/>
        <v>0</v>
      </c>
      <c r="AM61" s="256">
        <f t="shared" si="93"/>
        <v>0</v>
      </c>
      <c r="AN61" s="252">
        <v>0</v>
      </c>
      <c r="AO61" s="257">
        <f t="shared" si="77"/>
        <v>0</v>
      </c>
      <c r="AP61" s="256">
        <f t="shared" si="94"/>
        <v>0</v>
      </c>
      <c r="AQ61" s="252">
        <v>0</v>
      </c>
      <c r="AR61" s="257" t="e">
        <f t="shared" si="57"/>
        <v>#DIV/0!</v>
      </c>
      <c r="AS61" s="257">
        <v>0</v>
      </c>
      <c r="AT61" s="251">
        <f>AV61+AX61</f>
        <v>1642.4191000000001</v>
      </c>
      <c r="AU61" s="259">
        <f t="shared" si="95"/>
        <v>0.28879886020869744</v>
      </c>
      <c r="AV61" s="176">
        <v>1642.4191000000001</v>
      </c>
      <c r="AW61" s="261">
        <f t="shared" si="96"/>
        <v>0.28879886020869744</v>
      </c>
      <c r="AX61" s="176">
        <v>0</v>
      </c>
      <c r="AY61" s="261">
        <v>0</v>
      </c>
      <c r="AZ61" s="176">
        <f>BB61+BD61</f>
        <v>4044.6500900000001</v>
      </c>
      <c r="BA61" s="262">
        <f t="shared" si="97"/>
        <v>0.71120113979130262</v>
      </c>
      <c r="BB61" s="176">
        <f>L61-AV61</f>
        <v>4044.6500900000001</v>
      </c>
      <c r="BC61" s="262">
        <f t="shared" si="98"/>
        <v>0.71120113979130262</v>
      </c>
      <c r="BD61" s="176">
        <f>G61-AX61</f>
        <v>0</v>
      </c>
      <c r="BE61" s="262">
        <v>0</v>
      </c>
      <c r="BF61" s="176">
        <f t="shared" si="157"/>
        <v>1642.4191000000001</v>
      </c>
      <c r="BG61" s="262">
        <f t="shared" si="88"/>
        <v>1</v>
      </c>
      <c r="BH61" s="260">
        <v>1642.4191000000001</v>
      </c>
      <c r="BI61" s="262">
        <f t="shared" si="89"/>
        <v>1</v>
      </c>
      <c r="BJ61" s="260">
        <v>0</v>
      </c>
      <c r="BK61" s="262">
        <v>0</v>
      </c>
      <c r="BL61" s="260">
        <f t="shared" si="126"/>
        <v>0</v>
      </c>
      <c r="BM61" s="262">
        <f t="shared" si="90"/>
        <v>0</v>
      </c>
      <c r="BN61" s="260">
        <f t="shared" si="110"/>
        <v>0</v>
      </c>
      <c r="BO61" s="262">
        <f t="shared" si="91"/>
        <v>0</v>
      </c>
      <c r="BP61" s="260">
        <v>0</v>
      </c>
      <c r="BQ61" s="262">
        <v>0</v>
      </c>
      <c r="BR61" s="176">
        <f t="shared" si="158"/>
        <v>4044.6500900000001</v>
      </c>
      <c r="BS61" s="263">
        <f t="shared" si="99"/>
        <v>0.71120113979130262</v>
      </c>
      <c r="BT61" s="176">
        <f t="shared" si="152"/>
        <v>4044.6500900000001</v>
      </c>
      <c r="BU61" s="263">
        <f t="shared" si="105"/>
        <v>0.71120113979130262</v>
      </c>
      <c r="BV61" s="260">
        <v>0</v>
      </c>
      <c r="BW61" s="263">
        <v>0</v>
      </c>
      <c r="BX61" s="303"/>
      <c r="BY61" s="271" t="e">
        <f>AD61/S61</f>
        <v>#DIV/0!</v>
      </c>
      <c r="BZ61" s="176" t="e">
        <f t="shared" si="153"/>
        <v>#REF!</v>
      </c>
      <c r="CA61" s="271" t="e">
        <f t="shared" si="159"/>
        <v>#REF!</v>
      </c>
      <c r="CB61" s="176" t="e">
        <f>#REF!-#REF!</f>
        <v>#REF!</v>
      </c>
      <c r="CC61" s="271" t="e">
        <f t="shared" si="160"/>
        <v>#REF!</v>
      </c>
      <c r="CD61" s="260"/>
      <c r="CE61" s="271" t="e">
        <f t="shared" si="68"/>
        <v>#DIV/0!</v>
      </c>
      <c r="CF61" s="176">
        <f t="shared" si="145"/>
        <v>0</v>
      </c>
      <c r="CG61" s="272"/>
      <c r="CH61" s="176">
        <f t="shared" si="146"/>
        <v>0</v>
      </c>
      <c r="CI61" s="272"/>
      <c r="CJ61" s="176">
        <f t="shared" si="147"/>
        <v>0</v>
      </c>
      <c r="CK61" s="273"/>
    </row>
    <row r="62" spans="2:89" s="42" customFormat="1" ht="27.75" hidden="1" customHeight="1">
      <c r="B62" s="247"/>
      <c r="C62" s="270" t="s">
        <v>102</v>
      </c>
      <c r="D62" s="274"/>
      <c r="E62" s="249"/>
      <c r="F62" s="250"/>
      <c r="G62" s="250"/>
      <c r="H62" s="249"/>
      <c r="I62" s="249"/>
      <c r="J62" s="249"/>
      <c r="K62" s="251">
        <f t="shared" si="71"/>
        <v>0</v>
      </c>
      <c r="L62" s="252">
        <v>0</v>
      </c>
      <c r="M62" s="252">
        <v>0</v>
      </c>
      <c r="N62" s="251"/>
      <c r="O62" s="251"/>
      <c r="P62" s="251"/>
      <c r="Q62" s="249">
        <f t="shared" si="149"/>
        <v>0</v>
      </c>
      <c r="R62" s="249">
        <v>0</v>
      </c>
      <c r="S62" s="250"/>
      <c r="T62" s="252">
        <f t="shared" si="155"/>
        <v>4.6800000000000001E-3</v>
      </c>
      <c r="U62" s="253" t="e">
        <f t="shared" si="47"/>
        <v>#DIV/0!</v>
      </c>
      <c r="V62" s="251">
        <v>4.6800000000000001E-3</v>
      </c>
      <c r="W62" s="253" t="e">
        <f t="shared" si="48"/>
        <v>#DIV/0!</v>
      </c>
      <c r="X62" s="252"/>
      <c r="Y62" s="253" t="e">
        <f t="shared" si="49"/>
        <v>#DIV/0!</v>
      </c>
      <c r="Z62" s="251">
        <f t="shared" si="150"/>
        <v>-4.6800000000000001E-3</v>
      </c>
      <c r="AA62" s="253" t="e">
        <f t="shared" si="51"/>
        <v>#DIV/0!</v>
      </c>
      <c r="AB62" s="251">
        <f t="shared" si="101"/>
        <v>-4.6800000000000001E-3</v>
      </c>
      <c r="AC62" s="253" t="e">
        <f t="shared" si="52"/>
        <v>#DIV/0!</v>
      </c>
      <c r="AD62" s="252"/>
      <c r="AE62" s="251"/>
      <c r="AF62" s="252"/>
      <c r="AG62" s="252"/>
      <c r="AH62" s="251">
        <f t="shared" si="156"/>
        <v>7.0200000000000002E-3</v>
      </c>
      <c r="AI62" s="252">
        <v>7.0200000000000002E-3</v>
      </c>
      <c r="AJ62" s="252"/>
      <c r="AK62" s="251">
        <f>AN62+AQ62</f>
        <v>0</v>
      </c>
      <c r="AL62" s="255">
        <f t="shared" si="87"/>
        <v>0</v>
      </c>
      <c r="AM62" s="256">
        <v>0</v>
      </c>
      <c r="AN62" s="252">
        <v>0</v>
      </c>
      <c r="AO62" s="257">
        <f t="shared" si="77"/>
        <v>0</v>
      </c>
      <c r="AP62" s="256">
        <v>0</v>
      </c>
      <c r="AQ62" s="252">
        <v>0</v>
      </c>
      <c r="AR62" s="257" t="e">
        <f t="shared" si="57"/>
        <v>#DIV/0!</v>
      </c>
      <c r="AS62" s="257">
        <v>0</v>
      </c>
      <c r="AT62" s="251">
        <f>AV62+AX62</f>
        <v>0</v>
      </c>
      <c r="AU62" s="259" t="e">
        <f t="shared" si="95"/>
        <v>#DIV/0!</v>
      </c>
      <c r="AV62" s="176">
        <f>L62</f>
        <v>0</v>
      </c>
      <c r="AW62" s="261" t="e">
        <f t="shared" si="96"/>
        <v>#DIV/0!</v>
      </c>
      <c r="AX62" s="176">
        <v>0</v>
      </c>
      <c r="AY62" s="261">
        <v>0</v>
      </c>
      <c r="AZ62" s="176"/>
      <c r="BA62" s="262" t="e">
        <f t="shared" si="97"/>
        <v>#DIV/0!</v>
      </c>
      <c r="BB62" s="176">
        <f>L62-AV62</f>
        <v>0</v>
      </c>
      <c r="BC62" s="262" t="e">
        <f t="shared" si="98"/>
        <v>#DIV/0!</v>
      </c>
      <c r="BD62" s="176">
        <v>0</v>
      </c>
      <c r="BE62" s="262">
        <v>0</v>
      </c>
      <c r="BF62" s="176">
        <f t="shared" si="157"/>
        <v>0</v>
      </c>
      <c r="BG62" s="262" t="e">
        <f t="shared" si="88"/>
        <v>#DIV/0!</v>
      </c>
      <c r="BH62" s="260">
        <v>0</v>
      </c>
      <c r="BI62" s="262" t="e">
        <f t="shared" si="89"/>
        <v>#DIV/0!</v>
      </c>
      <c r="BJ62" s="260">
        <v>0</v>
      </c>
      <c r="BK62" s="262">
        <v>0</v>
      </c>
      <c r="BL62" s="260">
        <v>0</v>
      </c>
      <c r="BM62" s="262" t="e">
        <f t="shared" si="90"/>
        <v>#DIV/0!</v>
      </c>
      <c r="BN62" s="260">
        <f t="shared" si="110"/>
        <v>0</v>
      </c>
      <c r="BO62" s="262" t="e">
        <f t="shared" si="91"/>
        <v>#DIV/0!</v>
      </c>
      <c r="BP62" s="260">
        <v>0</v>
      </c>
      <c r="BQ62" s="262">
        <v>0</v>
      </c>
      <c r="BR62" s="176">
        <v>0</v>
      </c>
      <c r="BS62" s="263" t="e">
        <f t="shared" si="99"/>
        <v>#DIV/0!</v>
      </c>
      <c r="BT62" s="176">
        <f t="shared" si="152"/>
        <v>0</v>
      </c>
      <c r="BU62" s="263" t="e">
        <f t="shared" si="105"/>
        <v>#DIV/0!</v>
      </c>
      <c r="BV62" s="260">
        <v>0</v>
      </c>
      <c r="BW62" s="263">
        <v>0</v>
      </c>
      <c r="BX62" s="303"/>
      <c r="BY62" s="271" t="e">
        <f>AD62/S62</f>
        <v>#DIV/0!</v>
      </c>
      <c r="BZ62" s="176" t="e">
        <f t="shared" si="153"/>
        <v>#REF!</v>
      </c>
      <c r="CA62" s="271" t="e">
        <f t="shared" si="159"/>
        <v>#REF!</v>
      </c>
      <c r="CB62" s="176" t="e">
        <f>#REF!-#REF!</f>
        <v>#REF!</v>
      </c>
      <c r="CC62" s="271" t="e">
        <f t="shared" si="160"/>
        <v>#REF!</v>
      </c>
      <c r="CD62" s="260"/>
      <c r="CE62" s="271" t="e">
        <f t="shared" si="68"/>
        <v>#DIV/0!</v>
      </c>
      <c r="CF62" s="176"/>
      <c r="CG62" s="272"/>
      <c r="CH62" s="176"/>
      <c r="CI62" s="272"/>
      <c r="CJ62" s="176"/>
      <c r="CK62" s="273"/>
    </row>
    <row r="63" spans="2:89" s="269" customFormat="1" ht="88.5" customHeight="1">
      <c r="B63" s="275" t="s">
        <v>112</v>
      </c>
      <c r="C63" s="248" t="s">
        <v>113</v>
      </c>
      <c r="D63" s="274" t="s">
        <v>114</v>
      </c>
      <c r="E63" s="249">
        <f t="shared" ref="E63:E65" si="161">F63+G63</f>
        <v>16487.79796</v>
      </c>
      <c r="F63" s="250">
        <f>SUM(F64:F65)</f>
        <v>16487.79796</v>
      </c>
      <c r="G63" s="250">
        <f>SUM(G64:G65)</f>
        <v>0</v>
      </c>
      <c r="H63" s="249">
        <f t="shared" ref="H63:H65" si="162">I63+J63</f>
        <v>-7895.6909599999999</v>
      </c>
      <c r="I63" s="250">
        <f>SUM(I64:I65)</f>
        <v>-7895.6909599999999</v>
      </c>
      <c r="J63" s="250"/>
      <c r="K63" s="251">
        <f t="shared" si="71"/>
        <v>13016.103999999999</v>
      </c>
      <c r="L63" s="252">
        <f>L64+L65+L66+L67</f>
        <v>13016.103999999999</v>
      </c>
      <c r="M63" s="252">
        <f>SUM(M64:M65)</f>
        <v>0</v>
      </c>
      <c r="N63" s="252">
        <f t="shared" ref="N63:O63" si="163">N64+N65+N66+N67</f>
        <v>0</v>
      </c>
      <c r="O63" s="252">
        <f t="shared" si="163"/>
        <v>0</v>
      </c>
      <c r="P63" s="252"/>
      <c r="Q63" s="249">
        <f>R63</f>
        <v>13016.103999999999</v>
      </c>
      <c r="R63" s="250">
        <f>R64+R65+R66+R67</f>
        <v>13016.103999999999</v>
      </c>
      <c r="S63" s="250">
        <f>SUM(S64:S65)</f>
        <v>0</v>
      </c>
      <c r="T63" s="252">
        <f>V63+X63</f>
        <v>53529.737799999995</v>
      </c>
      <c r="U63" s="253">
        <f t="shared" si="47"/>
        <v>4.1125776038667174</v>
      </c>
      <c r="V63" s="252">
        <f>V64+V65+V66+V67</f>
        <v>53529.737799999995</v>
      </c>
      <c r="W63" s="253">
        <f t="shared" si="48"/>
        <v>4.1125776038667174</v>
      </c>
      <c r="X63" s="252">
        <f>SUM(X64:X65)</f>
        <v>0</v>
      </c>
      <c r="Y63" s="253">
        <v>0</v>
      </c>
      <c r="Z63" s="251">
        <f t="shared" si="150"/>
        <v>-40513.633799999996</v>
      </c>
      <c r="AA63" s="253">
        <f t="shared" si="51"/>
        <v>-3.1125776038667174</v>
      </c>
      <c r="AB63" s="251">
        <f t="shared" si="101"/>
        <v>-40513.633799999996</v>
      </c>
      <c r="AC63" s="254">
        <f t="shared" si="52"/>
        <v>-3.1125776038667174</v>
      </c>
      <c r="AD63" s="252">
        <f>SUM(AD64:AD65)</f>
        <v>0</v>
      </c>
      <c r="AE63" s="251">
        <f t="shared" ref="AE63:AE65" si="164">AF63+AG63</f>
        <v>0</v>
      </c>
      <c r="AF63" s="252">
        <f>SUM(AF64:AF65)</f>
        <v>0</v>
      </c>
      <c r="AG63" s="252">
        <f>SUM(AG64:AG65)</f>
        <v>0</v>
      </c>
      <c r="AH63" s="251">
        <f t="shared" si="156"/>
        <v>923.85699999999997</v>
      </c>
      <c r="AI63" s="252">
        <f>SUM(AI64:AI65)</f>
        <v>923.85699999999997</v>
      </c>
      <c r="AJ63" s="252">
        <f>SUM(AJ64:AJ65)</f>
        <v>0</v>
      </c>
      <c r="AK63" s="252">
        <f>AN63+AQ63</f>
        <v>179</v>
      </c>
      <c r="AL63" s="255">
        <f t="shared" si="87"/>
        <v>0.19375292929533466</v>
      </c>
      <c r="AM63" s="256">
        <f t="shared" si="93"/>
        <v>1.3752194973242378E-2</v>
      </c>
      <c r="AN63" s="252">
        <f>AN64+AN65+AN66+AN67</f>
        <v>179</v>
      </c>
      <c r="AO63" s="257">
        <f t="shared" si="77"/>
        <v>0.19375292929533466</v>
      </c>
      <c r="AP63" s="256">
        <f t="shared" si="94"/>
        <v>1.3752194973242378E-2</v>
      </c>
      <c r="AQ63" s="252">
        <v>0</v>
      </c>
      <c r="AR63" s="258" t="e">
        <f t="shared" si="57"/>
        <v>#DIV/0!</v>
      </c>
      <c r="AS63" s="258">
        <v>0</v>
      </c>
      <c r="AT63" s="252">
        <f>AV63</f>
        <v>9333.4590000000007</v>
      </c>
      <c r="AU63" s="259">
        <f t="shared" si="95"/>
        <v>0.71707010023890416</v>
      </c>
      <c r="AV63" s="260">
        <f>AV64+AV65+AV66+AV67</f>
        <v>9333.4590000000007</v>
      </c>
      <c r="AW63" s="261">
        <f t="shared" si="96"/>
        <v>0.71707010023890416</v>
      </c>
      <c r="AX63" s="176">
        <v>0</v>
      </c>
      <c r="AY63" s="261">
        <v>0</v>
      </c>
      <c r="AZ63" s="260">
        <f>BB63+BD63</f>
        <v>3682.6450000000004</v>
      </c>
      <c r="BA63" s="262">
        <f t="shared" si="97"/>
        <v>0.282929899761096</v>
      </c>
      <c r="BB63" s="260">
        <f>BB64+BB65+BB66+BB67</f>
        <v>3682.6450000000004</v>
      </c>
      <c r="BC63" s="262">
        <f t="shared" si="98"/>
        <v>0.282929899761096</v>
      </c>
      <c r="BD63" s="260">
        <f>SUM(BD64:BD65)</f>
        <v>0</v>
      </c>
      <c r="BE63" s="262">
        <v>0</v>
      </c>
      <c r="BF63" s="176">
        <f t="shared" si="157"/>
        <v>9333.4590000000007</v>
      </c>
      <c r="BG63" s="262">
        <f t="shared" si="88"/>
        <v>1</v>
      </c>
      <c r="BH63" s="260">
        <f>BH64+BH65+BH66+BH67</f>
        <v>9333.4590000000007</v>
      </c>
      <c r="BI63" s="262">
        <f t="shared" si="89"/>
        <v>1</v>
      </c>
      <c r="BJ63" s="260">
        <f>SUM(BJ64:BJ65)</f>
        <v>0</v>
      </c>
      <c r="BK63" s="262">
        <v>0</v>
      </c>
      <c r="BL63" s="260">
        <f t="shared" ref="BL63:BL71" si="165">BN63+BP63</f>
        <v>0</v>
      </c>
      <c r="BM63" s="262">
        <f t="shared" si="90"/>
        <v>0</v>
      </c>
      <c r="BN63" s="260">
        <f>BN64+BN65+BN66+BN67</f>
        <v>0</v>
      </c>
      <c r="BO63" s="262">
        <f t="shared" si="91"/>
        <v>0</v>
      </c>
      <c r="BP63" s="260">
        <f>SUM(BP64:BP65)</f>
        <v>0</v>
      </c>
      <c r="BQ63" s="262">
        <v>0</v>
      </c>
      <c r="BR63" s="176">
        <f t="shared" ref="BR63:BR71" si="166">BT63+BV63</f>
        <v>3682.6450000000004</v>
      </c>
      <c r="BS63" s="263">
        <f t="shared" si="99"/>
        <v>0.282929899761096</v>
      </c>
      <c r="BT63" s="260">
        <f>BT64+BT65+BT66+BT67</f>
        <v>3682.6450000000004</v>
      </c>
      <c r="BU63" s="263">
        <f t="shared" si="105"/>
        <v>0.282929899761096</v>
      </c>
      <c r="BV63" s="260">
        <f>SUM(BV64:BV65)</f>
        <v>0</v>
      </c>
      <c r="BW63" s="263">
        <v>0</v>
      </c>
      <c r="BX63" s="302" t="s">
        <v>115</v>
      </c>
      <c r="BY63" s="265">
        <v>0</v>
      </c>
      <c r="BZ63" s="176" t="e">
        <f t="shared" si="153"/>
        <v>#REF!</v>
      </c>
      <c r="CA63" s="265" t="e">
        <f t="shared" si="159"/>
        <v>#REF!</v>
      </c>
      <c r="CB63" s="277" t="e">
        <f>#REF!-#REF!</f>
        <v>#REF!</v>
      </c>
      <c r="CC63" s="265" t="e">
        <f t="shared" si="160"/>
        <v>#REF!</v>
      </c>
      <c r="CD63" s="260">
        <f>SUM(CD64:CD65)</f>
        <v>0</v>
      </c>
      <c r="CE63" s="265" t="e">
        <f t="shared" si="68"/>
        <v>#DIV/0!</v>
      </c>
      <c r="CF63" s="176" t="s">
        <v>81</v>
      </c>
      <c r="CG63" s="176" t="s">
        <v>81</v>
      </c>
      <c r="CH63" s="176">
        <f t="shared" ref="CH63:CH65" si="167">CI63+CJ63</f>
        <v>0</v>
      </c>
      <c r="CI63" s="267"/>
      <c r="CJ63" s="176">
        <f t="shared" ref="CJ63:CJ65" si="168">CK63+CL63</f>
        <v>0</v>
      </c>
      <c r="CK63" s="268"/>
    </row>
    <row r="64" spans="2:89" s="42" customFormat="1" ht="15" hidden="1" customHeight="1">
      <c r="B64" s="304"/>
      <c r="C64" s="270" t="s">
        <v>82</v>
      </c>
      <c r="D64" s="274"/>
      <c r="E64" s="249">
        <f t="shared" si="161"/>
        <v>10000</v>
      </c>
      <c r="F64" s="249">
        <v>10000</v>
      </c>
      <c r="G64" s="249"/>
      <c r="H64" s="249">
        <f t="shared" si="162"/>
        <v>-1676.893</v>
      </c>
      <c r="I64" s="249">
        <f>L64-F64</f>
        <v>-1676.893</v>
      </c>
      <c r="J64" s="249"/>
      <c r="K64" s="251">
        <f t="shared" si="71"/>
        <v>8323.107</v>
      </c>
      <c r="L64" s="251">
        <v>8323.107</v>
      </c>
      <c r="M64" s="251">
        <v>0</v>
      </c>
      <c r="N64" s="251">
        <f t="shared" ref="N64:N67" si="169">O64+P64</f>
        <v>0</v>
      </c>
      <c r="O64" s="251">
        <f>R64-L64</f>
        <v>0</v>
      </c>
      <c r="P64" s="251"/>
      <c r="Q64" s="249">
        <f t="shared" ref="Q64:Q65" si="170">R64+S64</f>
        <v>8323.107</v>
      </c>
      <c r="R64" s="249">
        <v>8323.107</v>
      </c>
      <c r="S64" s="249"/>
      <c r="T64" s="252">
        <f>V64+X64</f>
        <v>8323.107</v>
      </c>
      <c r="U64" s="253">
        <f t="shared" si="47"/>
        <v>1</v>
      </c>
      <c r="V64" s="251">
        <f>R64</f>
        <v>8323.107</v>
      </c>
      <c r="W64" s="253">
        <f t="shared" si="48"/>
        <v>1</v>
      </c>
      <c r="X64" s="251"/>
      <c r="Y64" s="253" t="e">
        <f t="shared" si="49"/>
        <v>#DIV/0!</v>
      </c>
      <c r="Z64" s="251">
        <f t="shared" si="150"/>
        <v>0</v>
      </c>
      <c r="AA64" s="253">
        <f t="shared" si="51"/>
        <v>0</v>
      </c>
      <c r="AB64" s="251">
        <f t="shared" si="101"/>
        <v>0</v>
      </c>
      <c r="AC64" s="253">
        <f t="shared" si="52"/>
        <v>0</v>
      </c>
      <c r="AD64" s="251"/>
      <c r="AE64" s="251">
        <f t="shared" si="164"/>
        <v>0</v>
      </c>
      <c r="AF64" s="251"/>
      <c r="AG64" s="251"/>
      <c r="AH64" s="251">
        <f t="shared" si="156"/>
        <v>0</v>
      </c>
      <c r="AI64" s="251"/>
      <c r="AJ64" s="251"/>
      <c r="AK64" s="251">
        <f t="shared" ref="AK64:AK67" si="171">AN64+AQ64</f>
        <v>0</v>
      </c>
      <c r="AL64" s="255" t="e">
        <f t="shared" si="87"/>
        <v>#DIV/0!</v>
      </c>
      <c r="AM64" s="256">
        <v>0</v>
      </c>
      <c r="AN64" s="251">
        <v>0</v>
      </c>
      <c r="AO64" s="257" t="e">
        <f t="shared" si="77"/>
        <v>#DIV/0!</v>
      </c>
      <c r="AP64" s="256">
        <v>0</v>
      </c>
      <c r="AQ64" s="252">
        <v>0</v>
      </c>
      <c r="AR64" s="257" t="e">
        <f t="shared" si="57"/>
        <v>#DIV/0!</v>
      </c>
      <c r="AS64" s="257">
        <v>0</v>
      </c>
      <c r="AT64" s="251">
        <f t="shared" ref="AT64:AT67" si="172">AV64+AX64</f>
        <v>8323.107</v>
      </c>
      <c r="AU64" s="259">
        <f t="shared" si="95"/>
        <v>1</v>
      </c>
      <c r="AV64" s="176">
        <f>L64</f>
        <v>8323.107</v>
      </c>
      <c r="AW64" s="261">
        <f t="shared" si="96"/>
        <v>1</v>
      </c>
      <c r="AX64" s="176">
        <v>0</v>
      </c>
      <c r="AY64" s="261">
        <v>0</v>
      </c>
      <c r="AZ64" s="176">
        <f t="shared" ref="AZ64:AZ67" si="173">BB64+BD64</f>
        <v>0</v>
      </c>
      <c r="BA64" s="262">
        <f t="shared" si="97"/>
        <v>0</v>
      </c>
      <c r="BB64" s="176">
        <f>L64-AV64</f>
        <v>0</v>
      </c>
      <c r="BC64" s="262">
        <f t="shared" si="98"/>
        <v>0</v>
      </c>
      <c r="BD64" s="176">
        <f>G64-AX64</f>
        <v>0</v>
      </c>
      <c r="BE64" s="262">
        <v>0</v>
      </c>
      <c r="BF64" s="176">
        <f t="shared" si="157"/>
        <v>8323.107</v>
      </c>
      <c r="BG64" s="262">
        <f t="shared" si="88"/>
        <v>1</v>
      </c>
      <c r="BH64" s="176">
        <f>'[1]тыс. руб 1 знак'!$AV$61+8323.107</f>
        <v>8323.107</v>
      </c>
      <c r="BI64" s="262">
        <f t="shared" si="89"/>
        <v>1</v>
      </c>
      <c r="BJ64" s="176">
        <v>0</v>
      </c>
      <c r="BK64" s="262">
        <v>0</v>
      </c>
      <c r="BL64" s="260">
        <f t="shared" si="165"/>
        <v>0</v>
      </c>
      <c r="BM64" s="262">
        <f t="shared" si="90"/>
        <v>0</v>
      </c>
      <c r="BN64" s="260">
        <f t="shared" si="110"/>
        <v>0</v>
      </c>
      <c r="BO64" s="262">
        <f t="shared" si="91"/>
        <v>0</v>
      </c>
      <c r="BP64" s="176">
        <v>0</v>
      </c>
      <c r="BQ64" s="262">
        <v>0</v>
      </c>
      <c r="BR64" s="176">
        <f t="shared" si="166"/>
        <v>0</v>
      </c>
      <c r="BS64" s="263">
        <f t="shared" si="99"/>
        <v>0</v>
      </c>
      <c r="BT64" s="176">
        <f t="shared" ref="BT64:BT67" si="174">L64-BH64</f>
        <v>0</v>
      </c>
      <c r="BU64" s="263">
        <f t="shared" si="105"/>
        <v>0</v>
      </c>
      <c r="BV64" s="176">
        <v>0</v>
      </c>
      <c r="BW64" s="263">
        <v>0</v>
      </c>
      <c r="BX64" s="175"/>
      <c r="BY64" s="271" t="e">
        <f>AD64/S64</f>
        <v>#DIV/0!</v>
      </c>
      <c r="BZ64" s="176" t="e">
        <f t="shared" si="153"/>
        <v>#REF!</v>
      </c>
      <c r="CA64" s="271" t="e">
        <f t="shared" si="159"/>
        <v>#REF!</v>
      </c>
      <c r="CB64" s="176" t="e">
        <f>#REF!-#REF!</f>
        <v>#REF!</v>
      </c>
      <c r="CC64" s="271" t="e">
        <f t="shared" si="160"/>
        <v>#REF!</v>
      </c>
      <c r="CD64" s="176"/>
      <c r="CE64" s="271" t="e">
        <f t="shared" si="68"/>
        <v>#DIV/0!</v>
      </c>
      <c r="CF64" s="176">
        <f t="shared" ref="CF64:CF65" si="175">CG64+CH64</f>
        <v>0</v>
      </c>
      <c r="CG64" s="272"/>
      <c r="CH64" s="176">
        <f t="shared" si="167"/>
        <v>0</v>
      </c>
      <c r="CI64" s="272"/>
      <c r="CJ64" s="176">
        <f t="shared" si="168"/>
        <v>0</v>
      </c>
      <c r="CK64" s="273"/>
    </row>
    <row r="65" spans="2:89" s="42" customFormat="1" ht="15" hidden="1" customHeight="1">
      <c r="B65" s="304"/>
      <c r="C65" s="270" t="s">
        <v>83</v>
      </c>
      <c r="D65" s="274" t="s">
        <v>84</v>
      </c>
      <c r="E65" s="249">
        <f t="shared" si="161"/>
        <v>6487.7979599999999</v>
      </c>
      <c r="F65" s="249">
        <v>6487.7979599999999</v>
      </c>
      <c r="G65" s="249"/>
      <c r="H65" s="249">
        <f t="shared" si="162"/>
        <v>-6218.7979599999999</v>
      </c>
      <c r="I65" s="249">
        <f>L65-F65</f>
        <v>-6218.7979599999999</v>
      </c>
      <c r="J65" s="249"/>
      <c r="K65" s="251">
        <f t="shared" si="71"/>
        <v>269</v>
      </c>
      <c r="L65" s="251">
        <f>4692.997-L66-L67</f>
        <v>269</v>
      </c>
      <c r="M65" s="251">
        <v>0</v>
      </c>
      <c r="N65" s="251">
        <f t="shared" si="169"/>
        <v>-90</v>
      </c>
      <c r="O65" s="251">
        <f>R65-L65</f>
        <v>-90</v>
      </c>
      <c r="P65" s="251"/>
      <c r="Q65" s="249">
        <f t="shared" si="170"/>
        <v>179</v>
      </c>
      <c r="R65" s="249">
        <v>179</v>
      </c>
      <c r="S65" s="249"/>
      <c r="T65" s="252">
        <f t="shared" ref="T65:T67" si="176">V65+X65</f>
        <v>3157.6678000000002</v>
      </c>
      <c r="U65" s="253">
        <f t="shared" si="47"/>
        <v>17.640602234636873</v>
      </c>
      <c r="V65" s="251">
        <v>3157.6678000000002</v>
      </c>
      <c r="W65" s="253">
        <f t="shared" si="48"/>
        <v>17.640602234636873</v>
      </c>
      <c r="X65" s="251"/>
      <c r="Y65" s="253" t="e">
        <f t="shared" si="49"/>
        <v>#DIV/0!</v>
      </c>
      <c r="Z65" s="251">
        <f t="shared" si="150"/>
        <v>-2888.6678000000002</v>
      </c>
      <c r="AA65" s="253">
        <f t="shared" si="51"/>
        <v>-16.137808938547487</v>
      </c>
      <c r="AB65" s="251">
        <f t="shared" si="101"/>
        <v>-2888.6678000000002</v>
      </c>
      <c r="AC65" s="253">
        <f t="shared" si="52"/>
        <v>-16.137808938547487</v>
      </c>
      <c r="AD65" s="251"/>
      <c r="AE65" s="251">
        <f t="shared" si="164"/>
        <v>0</v>
      </c>
      <c r="AF65" s="251"/>
      <c r="AG65" s="251"/>
      <c r="AH65" s="251">
        <f t="shared" si="156"/>
        <v>923.85699999999997</v>
      </c>
      <c r="AI65" s="251">
        <f>923.857</f>
        <v>923.85699999999997</v>
      </c>
      <c r="AJ65" s="251"/>
      <c r="AK65" s="251">
        <f t="shared" si="171"/>
        <v>179</v>
      </c>
      <c r="AL65" s="255">
        <f t="shared" si="87"/>
        <v>0.19375292929533466</v>
      </c>
      <c r="AM65" s="256">
        <f t="shared" si="93"/>
        <v>1</v>
      </c>
      <c r="AN65" s="251">
        <v>179</v>
      </c>
      <c r="AO65" s="257">
        <f t="shared" si="77"/>
        <v>0.19375292929533466</v>
      </c>
      <c r="AP65" s="256">
        <f t="shared" si="94"/>
        <v>1</v>
      </c>
      <c r="AQ65" s="252">
        <v>0</v>
      </c>
      <c r="AR65" s="257" t="e">
        <f t="shared" si="57"/>
        <v>#DIV/0!</v>
      </c>
      <c r="AS65" s="257">
        <v>0</v>
      </c>
      <c r="AT65" s="251">
        <f t="shared" si="172"/>
        <v>269</v>
      </c>
      <c r="AU65" s="259">
        <f t="shared" si="95"/>
        <v>1</v>
      </c>
      <c r="AV65" s="176">
        <f>L65</f>
        <v>269</v>
      </c>
      <c r="AW65" s="261">
        <f t="shared" si="96"/>
        <v>1</v>
      </c>
      <c r="AX65" s="176">
        <v>0</v>
      </c>
      <c r="AY65" s="261">
        <v>0</v>
      </c>
      <c r="AZ65" s="176">
        <f t="shared" si="173"/>
        <v>0</v>
      </c>
      <c r="BA65" s="262">
        <f t="shared" si="97"/>
        <v>0</v>
      </c>
      <c r="BB65" s="176">
        <f>L65-AV65</f>
        <v>0</v>
      </c>
      <c r="BC65" s="262">
        <f t="shared" si="98"/>
        <v>0</v>
      </c>
      <c r="BD65" s="176">
        <f>G65-AX65</f>
        <v>0</v>
      </c>
      <c r="BE65" s="262">
        <v>0</v>
      </c>
      <c r="BF65" s="176">
        <f t="shared" si="157"/>
        <v>269</v>
      </c>
      <c r="BG65" s="262">
        <f t="shared" si="88"/>
        <v>1</v>
      </c>
      <c r="BH65" s="176">
        <f>'[1]тыс. руб 1 знак'!$AV$62+90</f>
        <v>269</v>
      </c>
      <c r="BI65" s="262">
        <f t="shared" si="89"/>
        <v>1</v>
      </c>
      <c r="BJ65" s="176">
        <v>0</v>
      </c>
      <c r="BK65" s="262">
        <v>0</v>
      </c>
      <c r="BL65" s="260">
        <f t="shared" si="165"/>
        <v>0</v>
      </c>
      <c r="BM65" s="262">
        <f t="shared" si="90"/>
        <v>0</v>
      </c>
      <c r="BN65" s="260">
        <f t="shared" si="110"/>
        <v>0</v>
      </c>
      <c r="BO65" s="262">
        <f t="shared" si="91"/>
        <v>0</v>
      </c>
      <c r="BP65" s="176">
        <v>0</v>
      </c>
      <c r="BQ65" s="262">
        <v>0</v>
      </c>
      <c r="BR65" s="176">
        <f t="shared" si="166"/>
        <v>0</v>
      </c>
      <c r="BS65" s="263">
        <f t="shared" si="99"/>
        <v>0</v>
      </c>
      <c r="BT65" s="176">
        <f t="shared" si="174"/>
        <v>0</v>
      </c>
      <c r="BU65" s="263">
        <f t="shared" si="105"/>
        <v>0</v>
      </c>
      <c r="BV65" s="176">
        <v>0</v>
      </c>
      <c r="BW65" s="263">
        <v>0</v>
      </c>
      <c r="BX65" s="175"/>
      <c r="BY65" s="271" t="e">
        <f>AD65/S65</f>
        <v>#DIV/0!</v>
      </c>
      <c r="BZ65" s="176" t="e">
        <f t="shared" si="153"/>
        <v>#REF!</v>
      </c>
      <c r="CA65" s="271" t="e">
        <f t="shared" si="159"/>
        <v>#REF!</v>
      </c>
      <c r="CB65" s="176" t="e">
        <f>#REF!-#REF!</f>
        <v>#REF!</v>
      </c>
      <c r="CC65" s="271" t="e">
        <f t="shared" si="160"/>
        <v>#REF!</v>
      </c>
      <c r="CD65" s="176"/>
      <c r="CE65" s="271" t="e">
        <f t="shared" si="68"/>
        <v>#DIV/0!</v>
      </c>
      <c r="CF65" s="176">
        <f t="shared" si="175"/>
        <v>0</v>
      </c>
      <c r="CG65" s="272"/>
      <c r="CH65" s="176">
        <f t="shared" si="167"/>
        <v>0</v>
      </c>
      <c r="CI65" s="272"/>
      <c r="CJ65" s="176">
        <f t="shared" si="168"/>
        <v>0</v>
      </c>
      <c r="CK65" s="273"/>
    </row>
    <row r="66" spans="2:89" s="42" customFormat="1" ht="42" hidden="1" customHeight="1">
      <c r="B66" s="304"/>
      <c r="C66" s="295" t="s">
        <v>107</v>
      </c>
      <c r="D66" s="274"/>
      <c r="E66" s="249"/>
      <c r="F66" s="249"/>
      <c r="G66" s="249"/>
      <c r="H66" s="249"/>
      <c r="I66" s="249"/>
      <c r="J66" s="249"/>
      <c r="K66" s="251">
        <f t="shared" si="71"/>
        <v>453.21100000000001</v>
      </c>
      <c r="L66" s="251">
        <v>453.21100000000001</v>
      </c>
      <c r="M66" s="251">
        <v>0</v>
      </c>
      <c r="N66" s="251">
        <f t="shared" si="169"/>
        <v>0</v>
      </c>
      <c r="O66" s="251">
        <f t="shared" ref="O66:O67" si="177">R66-L66</f>
        <v>0</v>
      </c>
      <c r="P66" s="251"/>
      <c r="Q66" s="249">
        <f>R66</f>
        <v>453.21100000000001</v>
      </c>
      <c r="R66" s="249">
        <v>453.21100000000001</v>
      </c>
      <c r="S66" s="249"/>
      <c r="T66" s="252">
        <f t="shared" si="176"/>
        <v>25404.960999999999</v>
      </c>
      <c r="U66" s="253">
        <f t="shared" si="47"/>
        <v>56.055481883714208</v>
      </c>
      <c r="V66" s="251">
        <v>25404.960999999999</v>
      </c>
      <c r="W66" s="253">
        <f t="shared" si="48"/>
        <v>56.055481883714208</v>
      </c>
      <c r="X66" s="251"/>
      <c r="Y66" s="253" t="e">
        <f t="shared" si="49"/>
        <v>#DIV/0!</v>
      </c>
      <c r="Z66" s="251">
        <f t="shared" si="150"/>
        <v>-24951.75</v>
      </c>
      <c r="AA66" s="253">
        <f t="shared" si="51"/>
        <v>-55.055481883714208</v>
      </c>
      <c r="AB66" s="251">
        <f t="shared" si="101"/>
        <v>-24951.75</v>
      </c>
      <c r="AC66" s="253">
        <f t="shared" si="52"/>
        <v>-55.055481883714208</v>
      </c>
      <c r="AD66" s="251"/>
      <c r="AE66" s="251"/>
      <c r="AF66" s="251"/>
      <c r="AG66" s="251"/>
      <c r="AH66" s="251">
        <f t="shared" si="156"/>
        <v>0</v>
      </c>
      <c r="AI66" s="251"/>
      <c r="AJ66" s="251"/>
      <c r="AK66" s="251">
        <f t="shared" si="171"/>
        <v>0</v>
      </c>
      <c r="AL66" s="255" t="e">
        <f t="shared" si="87"/>
        <v>#DIV/0!</v>
      </c>
      <c r="AM66" s="256">
        <f t="shared" si="93"/>
        <v>0</v>
      </c>
      <c r="AN66" s="251">
        <v>0</v>
      </c>
      <c r="AO66" s="257" t="e">
        <f t="shared" si="77"/>
        <v>#DIV/0!</v>
      </c>
      <c r="AP66" s="256">
        <f t="shared" si="94"/>
        <v>0</v>
      </c>
      <c r="AQ66" s="252">
        <v>0</v>
      </c>
      <c r="AR66" s="257" t="e">
        <f t="shared" si="57"/>
        <v>#DIV/0!</v>
      </c>
      <c r="AS66" s="257">
        <v>0</v>
      </c>
      <c r="AT66" s="251">
        <f t="shared" si="172"/>
        <v>0</v>
      </c>
      <c r="AU66" s="259">
        <f t="shared" si="95"/>
        <v>0</v>
      </c>
      <c r="AV66" s="176">
        <v>0</v>
      </c>
      <c r="AW66" s="261">
        <f t="shared" si="96"/>
        <v>0</v>
      </c>
      <c r="AX66" s="176">
        <v>0</v>
      </c>
      <c r="AY66" s="261">
        <v>0</v>
      </c>
      <c r="AZ66" s="176">
        <f t="shared" si="173"/>
        <v>453.21100000000001</v>
      </c>
      <c r="BA66" s="262">
        <f t="shared" si="97"/>
        <v>1</v>
      </c>
      <c r="BB66" s="176">
        <f>L66-AV66</f>
        <v>453.21100000000001</v>
      </c>
      <c r="BC66" s="262">
        <f t="shared" si="98"/>
        <v>1</v>
      </c>
      <c r="BD66" s="176">
        <v>0</v>
      </c>
      <c r="BE66" s="262">
        <v>0</v>
      </c>
      <c r="BF66" s="176">
        <f t="shared" si="157"/>
        <v>0</v>
      </c>
      <c r="BG66" s="262" t="e">
        <f t="shared" si="88"/>
        <v>#DIV/0!</v>
      </c>
      <c r="BH66" s="176">
        <f>'[1]тыс. руб 1 знак'!$AV$63</f>
        <v>0</v>
      </c>
      <c r="BI66" s="262" t="e">
        <f t="shared" si="89"/>
        <v>#DIV/0!</v>
      </c>
      <c r="BJ66" s="176">
        <v>0</v>
      </c>
      <c r="BK66" s="262">
        <v>0</v>
      </c>
      <c r="BL66" s="260">
        <f t="shared" si="165"/>
        <v>0</v>
      </c>
      <c r="BM66" s="262" t="e">
        <f t="shared" si="90"/>
        <v>#DIV/0!</v>
      </c>
      <c r="BN66" s="260">
        <f t="shared" si="110"/>
        <v>0</v>
      </c>
      <c r="BO66" s="262" t="e">
        <f t="shared" si="91"/>
        <v>#DIV/0!</v>
      </c>
      <c r="BP66" s="176">
        <v>0</v>
      </c>
      <c r="BQ66" s="262">
        <v>0</v>
      </c>
      <c r="BR66" s="176">
        <f t="shared" si="166"/>
        <v>453.21100000000001</v>
      </c>
      <c r="BS66" s="263">
        <f t="shared" si="99"/>
        <v>1</v>
      </c>
      <c r="BT66" s="176">
        <f t="shared" si="174"/>
        <v>453.21100000000001</v>
      </c>
      <c r="BU66" s="263">
        <f t="shared" si="105"/>
        <v>1</v>
      </c>
      <c r="BV66" s="176">
        <v>0</v>
      </c>
      <c r="BW66" s="263">
        <v>0</v>
      </c>
      <c r="BX66" s="175"/>
      <c r="BY66" s="271" t="e">
        <f>AD66/S66</f>
        <v>#DIV/0!</v>
      </c>
      <c r="BZ66" s="176" t="e">
        <f t="shared" si="153"/>
        <v>#REF!</v>
      </c>
      <c r="CA66" s="271" t="e">
        <f t="shared" si="159"/>
        <v>#REF!</v>
      </c>
      <c r="CB66" s="176" t="e">
        <f>#REF!-#REF!</f>
        <v>#REF!</v>
      </c>
      <c r="CC66" s="271" t="e">
        <f t="shared" si="160"/>
        <v>#REF!</v>
      </c>
      <c r="CD66" s="176"/>
      <c r="CE66" s="271" t="e">
        <f t="shared" si="68"/>
        <v>#DIV/0!</v>
      </c>
      <c r="CF66" s="176"/>
      <c r="CG66" s="272"/>
      <c r="CH66" s="176"/>
      <c r="CI66" s="272"/>
      <c r="CJ66" s="176"/>
      <c r="CK66" s="273"/>
    </row>
    <row r="67" spans="2:89" s="42" customFormat="1" ht="53.25" hidden="1" customHeight="1">
      <c r="B67" s="304"/>
      <c r="C67" s="295" t="s">
        <v>92</v>
      </c>
      <c r="D67" s="274"/>
      <c r="E67" s="249"/>
      <c r="F67" s="249"/>
      <c r="G67" s="249"/>
      <c r="H67" s="249"/>
      <c r="I67" s="249"/>
      <c r="J67" s="249"/>
      <c r="K67" s="251">
        <f t="shared" si="71"/>
        <v>3970.7860000000001</v>
      </c>
      <c r="L67" s="251">
        <v>3970.7860000000001</v>
      </c>
      <c r="M67" s="251">
        <v>0</v>
      </c>
      <c r="N67" s="251">
        <f t="shared" si="169"/>
        <v>90</v>
      </c>
      <c r="O67" s="251">
        <f t="shared" si="177"/>
        <v>90</v>
      </c>
      <c r="P67" s="251"/>
      <c r="Q67" s="249">
        <f>R67</f>
        <v>4060.7860000000001</v>
      </c>
      <c r="R67" s="249">
        <v>4060.7860000000001</v>
      </c>
      <c r="S67" s="249"/>
      <c r="T67" s="252">
        <f t="shared" si="176"/>
        <v>16644.002</v>
      </c>
      <c r="U67" s="253">
        <f t="shared" si="47"/>
        <v>4.0987143868206797</v>
      </c>
      <c r="V67" s="251">
        <v>16644.002</v>
      </c>
      <c r="W67" s="253">
        <f t="shared" si="48"/>
        <v>4.0987143868206797</v>
      </c>
      <c r="X67" s="251"/>
      <c r="Y67" s="253" t="e">
        <f t="shared" si="49"/>
        <v>#DIV/0!</v>
      </c>
      <c r="Z67" s="251">
        <f t="shared" si="150"/>
        <v>-12673.216</v>
      </c>
      <c r="AA67" s="253">
        <f t="shared" si="51"/>
        <v>-3.1208775837978164</v>
      </c>
      <c r="AB67" s="251">
        <f t="shared" si="101"/>
        <v>-12673.216</v>
      </c>
      <c r="AC67" s="253">
        <f t="shared" si="52"/>
        <v>-3.1208775837978164</v>
      </c>
      <c r="AD67" s="251"/>
      <c r="AE67" s="251"/>
      <c r="AF67" s="251"/>
      <c r="AG67" s="251"/>
      <c r="AH67" s="251">
        <f t="shared" si="156"/>
        <v>0</v>
      </c>
      <c r="AI67" s="251"/>
      <c r="AJ67" s="251"/>
      <c r="AK67" s="251">
        <f t="shared" si="171"/>
        <v>0</v>
      </c>
      <c r="AL67" s="255" t="e">
        <f t="shared" si="87"/>
        <v>#DIV/0!</v>
      </c>
      <c r="AM67" s="256">
        <f t="shared" si="93"/>
        <v>0</v>
      </c>
      <c r="AN67" s="251">
        <v>0</v>
      </c>
      <c r="AO67" s="257" t="e">
        <f t="shared" si="77"/>
        <v>#DIV/0!</v>
      </c>
      <c r="AP67" s="256">
        <f t="shared" si="94"/>
        <v>0</v>
      </c>
      <c r="AQ67" s="252">
        <v>0</v>
      </c>
      <c r="AR67" s="257" t="e">
        <f t="shared" si="57"/>
        <v>#DIV/0!</v>
      </c>
      <c r="AS67" s="257">
        <v>0</v>
      </c>
      <c r="AT67" s="251">
        <f t="shared" si="172"/>
        <v>741.35199999999998</v>
      </c>
      <c r="AU67" s="259">
        <f t="shared" si="95"/>
        <v>0.18670157495266679</v>
      </c>
      <c r="AV67" s="176">
        <v>741.35199999999998</v>
      </c>
      <c r="AW67" s="261">
        <f t="shared" si="96"/>
        <v>0.18670157495266679</v>
      </c>
      <c r="AX67" s="176">
        <v>0</v>
      </c>
      <c r="AY67" s="261">
        <v>0</v>
      </c>
      <c r="AZ67" s="176">
        <f t="shared" si="173"/>
        <v>3229.4340000000002</v>
      </c>
      <c r="BA67" s="262">
        <f t="shared" si="97"/>
        <v>0.81329842504733318</v>
      </c>
      <c r="BB67" s="176">
        <f>L67-AV67</f>
        <v>3229.4340000000002</v>
      </c>
      <c r="BC67" s="262">
        <f t="shared" si="98"/>
        <v>0.81329842504733318</v>
      </c>
      <c r="BD67" s="176">
        <v>0</v>
      </c>
      <c r="BE67" s="262">
        <v>0</v>
      </c>
      <c r="BF67" s="176">
        <f t="shared" si="157"/>
        <v>741.35199999999998</v>
      </c>
      <c r="BG67" s="262">
        <f t="shared" si="88"/>
        <v>1</v>
      </c>
      <c r="BH67" s="176">
        <v>741.35199999999998</v>
      </c>
      <c r="BI67" s="262">
        <f t="shared" si="89"/>
        <v>1</v>
      </c>
      <c r="BJ67" s="176">
        <v>0</v>
      </c>
      <c r="BK67" s="262">
        <v>0</v>
      </c>
      <c r="BL67" s="260">
        <f t="shared" si="165"/>
        <v>0</v>
      </c>
      <c r="BM67" s="262">
        <f t="shared" si="90"/>
        <v>0</v>
      </c>
      <c r="BN67" s="260">
        <f t="shared" si="110"/>
        <v>0</v>
      </c>
      <c r="BO67" s="262">
        <f t="shared" si="91"/>
        <v>0</v>
      </c>
      <c r="BP67" s="176">
        <v>0</v>
      </c>
      <c r="BQ67" s="262">
        <v>0</v>
      </c>
      <c r="BR67" s="176">
        <f t="shared" si="166"/>
        <v>3229.4340000000002</v>
      </c>
      <c r="BS67" s="263">
        <f t="shared" si="99"/>
        <v>0.81329842504733318</v>
      </c>
      <c r="BT67" s="176">
        <f t="shared" si="174"/>
        <v>3229.4340000000002</v>
      </c>
      <c r="BU67" s="263">
        <f t="shared" si="105"/>
        <v>0.81329842504733318</v>
      </c>
      <c r="BV67" s="176">
        <v>0</v>
      </c>
      <c r="BW67" s="263">
        <v>0</v>
      </c>
      <c r="BX67" s="175"/>
      <c r="BY67" s="271" t="e">
        <f>AD67/S67</f>
        <v>#DIV/0!</v>
      </c>
      <c r="BZ67" s="176" t="e">
        <f t="shared" si="153"/>
        <v>#REF!</v>
      </c>
      <c r="CA67" s="271" t="e">
        <f t="shared" si="159"/>
        <v>#REF!</v>
      </c>
      <c r="CB67" s="176" t="e">
        <f>#REF!-#REF!</f>
        <v>#REF!</v>
      </c>
      <c r="CC67" s="271" t="e">
        <f t="shared" si="160"/>
        <v>#REF!</v>
      </c>
      <c r="CD67" s="176"/>
      <c r="CE67" s="271" t="e">
        <f t="shared" si="68"/>
        <v>#DIV/0!</v>
      </c>
      <c r="CF67" s="176"/>
      <c r="CG67" s="272"/>
      <c r="CH67" s="176"/>
      <c r="CI67" s="272"/>
      <c r="CJ67" s="176"/>
      <c r="CK67" s="273"/>
    </row>
    <row r="68" spans="2:89" s="311" customFormat="1" ht="120.75" customHeight="1">
      <c r="B68" s="275" t="s">
        <v>116</v>
      </c>
      <c r="C68" s="248" t="s">
        <v>117</v>
      </c>
      <c r="D68" s="305"/>
      <c r="E68" s="306"/>
      <c r="F68" s="306"/>
      <c r="G68" s="306"/>
      <c r="H68" s="306"/>
      <c r="I68" s="306"/>
      <c r="J68" s="306"/>
      <c r="K68" s="251">
        <f>L68</f>
        <v>269604.57212999999</v>
      </c>
      <c r="L68" s="251">
        <f>L69+L70+L71</f>
        <v>269604.57212999999</v>
      </c>
      <c r="M68" s="251">
        <v>0</v>
      </c>
      <c r="N68" s="251">
        <f>O68</f>
        <v>-17862.836960000011</v>
      </c>
      <c r="O68" s="251">
        <f>O69+O70+O71</f>
        <v>-17862.836960000011</v>
      </c>
      <c r="P68" s="251"/>
      <c r="Q68" s="249">
        <f>R68</f>
        <v>251741.73517</v>
      </c>
      <c r="R68" s="249">
        <f>R69+R70+R71</f>
        <v>251741.73517</v>
      </c>
      <c r="S68" s="249"/>
      <c r="T68" s="251">
        <f>V68</f>
        <v>9819</v>
      </c>
      <c r="U68" s="253">
        <f t="shared" si="47"/>
        <v>3.90042596368428E-2</v>
      </c>
      <c r="V68" s="251">
        <f>V69+V71</f>
        <v>9819</v>
      </c>
      <c r="W68" s="253">
        <f t="shared" si="48"/>
        <v>3.90042596368428E-2</v>
      </c>
      <c r="X68" s="251"/>
      <c r="Y68" s="253">
        <v>0</v>
      </c>
      <c r="Z68" s="251">
        <f t="shared" si="150"/>
        <v>259785.57212999999</v>
      </c>
      <c r="AA68" s="253">
        <f t="shared" si="51"/>
        <v>1.0319527350304789</v>
      </c>
      <c r="AB68" s="251">
        <f t="shared" si="101"/>
        <v>259785.57212999999</v>
      </c>
      <c r="AC68" s="254">
        <f t="shared" si="52"/>
        <v>1.0319527350304789</v>
      </c>
      <c r="AD68" s="251"/>
      <c r="AE68" s="251"/>
      <c r="AF68" s="251"/>
      <c r="AG68" s="251"/>
      <c r="AH68" s="251">
        <v>0</v>
      </c>
      <c r="AI68" s="251"/>
      <c r="AJ68" s="251"/>
      <c r="AK68" s="251">
        <v>0</v>
      </c>
      <c r="AL68" s="307">
        <v>0</v>
      </c>
      <c r="AM68" s="256">
        <f t="shared" si="93"/>
        <v>0</v>
      </c>
      <c r="AN68" s="251">
        <f>AN69+AN71</f>
        <v>0</v>
      </c>
      <c r="AO68" s="253" t="e">
        <f t="shared" si="77"/>
        <v>#DIV/0!</v>
      </c>
      <c r="AP68" s="256">
        <f t="shared" si="94"/>
        <v>0</v>
      </c>
      <c r="AQ68" s="252">
        <v>0</v>
      </c>
      <c r="AR68" s="254" t="e">
        <f t="shared" si="57"/>
        <v>#DIV/0!</v>
      </c>
      <c r="AS68" s="258">
        <v>0</v>
      </c>
      <c r="AT68" s="251">
        <f>AV68</f>
        <v>247905.06791000001</v>
      </c>
      <c r="AU68" s="259">
        <f t="shared" si="95"/>
        <v>0.91951358966740093</v>
      </c>
      <c r="AV68" s="251">
        <f>AV69+AV70+AV71</f>
        <v>247905.06791000001</v>
      </c>
      <c r="AW68" s="261">
        <f t="shared" si="96"/>
        <v>0.91951358966740093</v>
      </c>
      <c r="AX68" s="176">
        <v>0</v>
      </c>
      <c r="AY68" s="261">
        <v>0</v>
      </c>
      <c r="AZ68" s="176">
        <f>BB68</f>
        <v>21699.504220000017</v>
      </c>
      <c r="BA68" s="262">
        <f t="shared" si="97"/>
        <v>8.0486410332599206E-2</v>
      </c>
      <c r="BB68" s="176">
        <f>BB69+BB71</f>
        <v>21699.504220000017</v>
      </c>
      <c r="BC68" s="262">
        <f t="shared" si="98"/>
        <v>8.0486410332599206E-2</v>
      </c>
      <c r="BD68" s="176">
        <v>0</v>
      </c>
      <c r="BE68" s="262">
        <v>0</v>
      </c>
      <c r="BF68" s="176">
        <f>BH68</f>
        <v>247905.06791000001</v>
      </c>
      <c r="BG68" s="262">
        <f t="shared" si="88"/>
        <v>1</v>
      </c>
      <c r="BH68" s="176">
        <f>BH69+BH70+BH71</f>
        <v>247905.06791000001</v>
      </c>
      <c r="BI68" s="262">
        <f t="shared" si="89"/>
        <v>1</v>
      </c>
      <c r="BJ68" s="176">
        <v>0</v>
      </c>
      <c r="BK68" s="262">
        <v>0</v>
      </c>
      <c r="BL68" s="260">
        <f t="shared" si="165"/>
        <v>0</v>
      </c>
      <c r="BM68" s="262">
        <f t="shared" si="90"/>
        <v>0</v>
      </c>
      <c r="BN68" s="260">
        <f>BN69+BN70+BN71</f>
        <v>0</v>
      </c>
      <c r="BO68" s="262">
        <f t="shared" si="91"/>
        <v>0</v>
      </c>
      <c r="BP68" s="176">
        <v>0</v>
      </c>
      <c r="BQ68" s="262">
        <v>0</v>
      </c>
      <c r="BR68" s="176">
        <f t="shared" si="166"/>
        <v>21699.504220000017</v>
      </c>
      <c r="BS68" s="263">
        <f t="shared" si="99"/>
        <v>8.0486410332599206E-2</v>
      </c>
      <c r="BT68" s="176">
        <f>BT69+BT70+BT71</f>
        <v>21699.504220000017</v>
      </c>
      <c r="BU68" s="263">
        <f t="shared" si="105"/>
        <v>8.0486410332599206E-2</v>
      </c>
      <c r="BV68" s="176">
        <v>0</v>
      </c>
      <c r="BW68" s="263">
        <v>0</v>
      </c>
      <c r="BX68" s="308" t="s">
        <v>81</v>
      </c>
      <c r="BY68" s="265">
        <v>0</v>
      </c>
      <c r="BZ68" s="176" t="e">
        <f t="shared" si="153"/>
        <v>#REF!</v>
      </c>
      <c r="CA68" s="265" t="e">
        <f t="shared" si="159"/>
        <v>#REF!</v>
      </c>
      <c r="CB68" s="277" t="e">
        <f>#REF!-#REF!</f>
        <v>#REF!</v>
      </c>
      <c r="CC68" s="265" t="e">
        <f t="shared" si="160"/>
        <v>#REF!</v>
      </c>
      <c r="CD68" s="176"/>
      <c r="CE68" s="265" t="e">
        <f t="shared" si="68"/>
        <v>#DIV/0!</v>
      </c>
      <c r="CF68" s="176" t="s">
        <v>81</v>
      </c>
      <c r="CG68" s="176" t="s">
        <v>81</v>
      </c>
      <c r="CH68" s="176"/>
      <c r="CI68" s="309"/>
      <c r="CJ68" s="176"/>
      <c r="CK68" s="310"/>
    </row>
    <row r="69" spans="2:89" s="42" customFormat="1" ht="15" hidden="1" customHeight="1">
      <c r="B69" s="304"/>
      <c r="C69" s="270" t="s">
        <v>82</v>
      </c>
      <c r="D69" s="274"/>
      <c r="E69" s="249">
        <f>F69+G69</f>
        <v>10000</v>
      </c>
      <c r="F69" s="249">
        <v>10000</v>
      </c>
      <c r="G69" s="249"/>
      <c r="H69" s="249" t="e">
        <f>I69+J69</f>
        <v>#REF!</v>
      </c>
      <c r="I69" s="249" t="e">
        <f>#REF!-F69</f>
        <v>#REF!</v>
      </c>
      <c r="J69" s="249"/>
      <c r="K69" s="251">
        <f>L69</f>
        <v>94620.255210000003</v>
      </c>
      <c r="L69" s="251">
        <v>94620.255210000003</v>
      </c>
      <c r="M69" s="251">
        <v>0</v>
      </c>
      <c r="N69" s="251">
        <f>O69</f>
        <v>27049.163039999999</v>
      </c>
      <c r="O69" s="251">
        <f>R69-L69</f>
        <v>27049.163039999999</v>
      </c>
      <c r="P69" s="251"/>
      <c r="Q69" s="249">
        <f>R69+S69</f>
        <v>121669.41825</v>
      </c>
      <c r="R69" s="249">
        <v>121669.41825</v>
      </c>
      <c r="S69" s="249"/>
      <c r="T69" s="252">
        <f t="shared" ref="T69:T71" si="178">V69+X69</f>
        <v>9819</v>
      </c>
      <c r="U69" s="253">
        <f t="shared" si="47"/>
        <v>8.0702284446075259E-2</v>
      </c>
      <c r="V69" s="251">
        <v>9819</v>
      </c>
      <c r="W69" s="253">
        <f t="shared" si="48"/>
        <v>8.0702284446075259E-2</v>
      </c>
      <c r="X69" s="251"/>
      <c r="Y69" s="253" t="e">
        <f t="shared" si="49"/>
        <v>#DIV/0!</v>
      </c>
      <c r="Z69" s="251">
        <f t="shared" si="150"/>
        <v>84801.255210000003</v>
      </c>
      <c r="AA69" s="253">
        <f t="shared" si="51"/>
        <v>0.69698085541721577</v>
      </c>
      <c r="AB69" s="251">
        <f t="shared" si="101"/>
        <v>84801.255210000003</v>
      </c>
      <c r="AC69" s="253">
        <f t="shared" si="52"/>
        <v>0.69698085541721577</v>
      </c>
      <c r="AD69" s="251"/>
      <c r="AE69" s="251">
        <f>AF69+AG69</f>
        <v>0</v>
      </c>
      <c r="AF69" s="251"/>
      <c r="AG69" s="251"/>
      <c r="AH69" s="251">
        <f>AI69+AJ69</f>
        <v>0</v>
      </c>
      <c r="AI69" s="251"/>
      <c r="AJ69" s="251"/>
      <c r="AK69" s="251">
        <f>AN69+AQ69</f>
        <v>0</v>
      </c>
      <c r="AL69" s="307" t="e">
        <f t="shared" si="87"/>
        <v>#DIV/0!</v>
      </c>
      <c r="AM69" s="256">
        <f t="shared" si="93"/>
        <v>0</v>
      </c>
      <c r="AN69" s="251">
        <v>0</v>
      </c>
      <c r="AO69" s="253" t="e">
        <f t="shared" si="77"/>
        <v>#DIV/0!</v>
      </c>
      <c r="AP69" s="256">
        <f t="shared" si="94"/>
        <v>0</v>
      </c>
      <c r="AQ69" s="252">
        <v>0</v>
      </c>
      <c r="AR69" s="253" t="e">
        <f t="shared" si="57"/>
        <v>#DIV/0!</v>
      </c>
      <c r="AS69" s="257">
        <v>0</v>
      </c>
      <c r="AT69" s="251">
        <f t="shared" ref="AT69:AT77" si="179">AV69+AX69</f>
        <v>82569.924559999999</v>
      </c>
      <c r="AU69" s="259">
        <f t="shared" si="95"/>
        <v>0.87264533768953034</v>
      </c>
      <c r="AV69" s="176">
        <f>BH69</f>
        <v>82569.924559999999</v>
      </c>
      <c r="AW69" s="261">
        <f t="shared" si="96"/>
        <v>0.87264533768953034</v>
      </c>
      <c r="AX69" s="176">
        <v>0</v>
      </c>
      <c r="AY69" s="261">
        <v>0</v>
      </c>
      <c r="AZ69" s="176">
        <f>BB69+BD69</f>
        <v>12050.330650000004</v>
      </c>
      <c r="BA69" s="262">
        <f t="shared" si="97"/>
        <v>0.1273546623104696</v>
      </c>
      <c r="BB69" s="176">
        <f>L69-AV69</f>
        <v>12050.330650000004</v>
      </c>
      <c r="BC69" s="262">
        <f t="shared" si="98"/>
        <v>0.1273546623104696</v>
      </c>
      <c r="BD69" s="176">
        <f>G69-AX69</f>
        <v>0</v>
      </c>
      <c r="BE69" s="262">
        <v>0</v>
      </c>
      <c r="BF69" s="176">
        <f>BH69+BJ69</f>
        <v>82569.924559999999</v>
      </c>
      <c r="BG69" s="262">
        <f t="shared" si="88"/>
        <v>1</v>
      </c>
      <c r="BH69" s="176">
        <v>82569.924559999999</v>
      </c>
      <c r="BI69" s="262">
        <f t="shared" si="89"/>
        <v>1</v>
      </c>
      <c r="BJ69" s="176">
        <v>0</v>
      </c>
      <c r="BK69" s="262">
        <v>0</v>
      </c>
      <c r="BL69" s="175">
        <f t="shared" si="165"/>
        <v>0</v>
      </c>
      <c r="BM69" s="262">
        <f t="shared" si="90"/>
        <v>0</v>
      </c>
      <c r="BN69" s="260">
        <f t="shared" si="110"/>
        <v>0</v>
      </c>
      <c r="BO69" s="262">
        <f t="shared" si="91"/>
        <v>0</v>
      </c>
      <c r="BP69" s="176">
        <v>0</v>
      </c>
      <c r="BQ69" s="262">
        <v>0</v>
      </c>
      <c r="BR69" s="176">
        <f t="shared" si="166"/>
        <v>12050.330650000004</v>
      </c>
      <c r="BS69" s="263">
        <f t="shared" si="99"/>
        <v>0.1273546623104696</v>
      </c>
      <c r="BT69" s="176">
        <f t="shared" ref="BT69:BT71" si="180">L69-BH69</f>
        <v>12050.330650000004</v>
      </c>
      <c r="BU69" s="263">
        <f t="shared" si="105"/>
        <v>0.1273546623104696</v>
      </c>
      <c r="BV69" s="176">
        <v>0</v>
      </c>
      <c r="BW69" s="263">
        <v>0</v>
      </c>
      <c r="BX69" s="175"/>
      <c r="BY69" s="271" t="e">
        <f>AD69/S69</f>
        <v>#DIV/0!</v>
      </c>
      <c r="BZ69" s="176" t="e">
        <f t="shared" si="153"/>
        <v>#REF!</v>
      </c>
      <c r="CA69" s="271" t="e">
        <f t="shared" si="159"/>
        <v>#REF!</v>
      </c>
      <c r="CB69" s="176" t="e">
        <f>#REF!-#REF!</f>
        <v>#REF!</v>
      </c>
      <c r="CC69" s="271" t="e">
        <f t="shared" si="160"/>
        <v>#REF!</v>
      </c>
      <c r="CD69" s="176"/>
      <c r="CE69" s="271" t="e">
        <f t="shared" si="68"/>
        <v>#DIV/0!</v>
      </c>
      <c r="CF69" s="176">
        <f>CG69+CH69</f>
        <v>0</v>
      </c>
      <c r="CG69" s="272"/>
      <c r="CH69" s="176">
        <f>CI69+CJ69</f>
        <v>0</v>
      </c>
      <c r="CI69" s="272"/>
      <c r="CJ69" s="176">
        <f>CK69+CL69</f>
        <v>0</v>
      </c>
      <c r="CK69" s="273"/>
    </row>
    <row r="70" spans="2:89" s="42" customFormat="1" ht="31.5" hidden="1" customHeight="1">
      <c r="B70" s="304"/>
      <c r="C70" s="295" t="s">
        <v>92</v>
      </c>
      <c r="D70" s="274"/>
      <c r="E70" s="249"/>
      <c r="F70" s="249"/>
      <c r="G70" s="249"/>
      <c r="H70" s="249"/>
      <c r="I70" s="249"/>
      <c r="J70" s="249"/>
      <c r="K70" s="251">
        <f>L70</f>
        <v>157929</v>
      </c>
      <c r="L70" s="251">
        <v>157929</v>
      </c>
      <c r="M70" s="251">
        <v>0</v>
      </c>
      <c r="N70" s="251">
        <f>O70</f>
        <v>-44926</v>
      </c>
      <c r="O70" s="251">
        <f>R70-L70</f>
        <v>-44926</v>
      </c>
      <c r="P70" s="251"/>
      <c r="Q70" s="249">
        <f>R70+S70</f>
        <v>113003</v>
      </c>
      <c r="R70" s="249">
        <f>113003</f>
        <v>113003</v>
      </c>
      <c r="S70" s="249"/>
      <c r="T70" s="252"/>
      <c r="U70" s="253"/>
      <c r="V70" s="251"/>
      <c r="W70" s="253"/>
      <c r="X70" s="251"/>
      <c r="Y70" s="253"/>
      <c r="Z70" s="251"/>
      <c r="AA70" s="253"/>
      <c r="AB70" s="251"/>
      <c r="AC70" s="253"/>
      <c r="AD70" s="251"/>
      <c r="AE70" s="251"/>
      <c r="AF70" s="251"/>
      <c r="AG70" s="251"/>
      <c r="AH70" s="251"/>
      <c r="AI70" s="251"/>
      <c r="AJ70" s="251"/>
      <c r="AK70" s="251"/>
      <c r="AL70" s="307"/>
      <c r="AM70" s="256"/>
      <c r="AN70" s="251">
        <v>0</v>
      </c>
      <c r="AO70" s="253"/>
      <c r="AP70" s="256"/>
      <c r="AQ70" s="252">
        <v>0</v>
      </c>
      <c r="AR70" s="253"/>
      <c r="AS70" s="257"/>
      <c r="AT70" s="251">
        <f t="shared" si="179"/>
        <v>157929</v>
      </c>
      <c r="AU70" s="259">
        <f t="shared" si="95"/>
        <v>1</v>
      </c>
      <c r="AV70" s="176">
        <f t="shared" ref="AV70:AV71" si="181">BH70</f>
        <v>157929</v>
      </c>
      <c r="AW70" s="261">
        <f t="shared" si="96"/>
        <v>1</v>
      </c>
      <c r="AX70" s="176">
        <v>0</v>
      </c>
      <c r="AY70" s="261">
        <v>0</v>
      </c>
      <c r="AZ70" s="176"/>
      <c r="BA70" s="262">
        <f t="shared" si="97"/>
        <v>0</v>
      </c>
      <c r="BB70" s="176">
        <f>L70-AV70</f>
        <v>0</v>
      </c>
      <c r="BC70" s="262">
        <f t="shared" si="98"/>
        <v>0</v>
      </c>
      <c r="BD70" s="176"/>
      <c r="BE70" s="262"/>
      <c r="BF70" s="176">
        <f>BH70+BJ70</f>
        <v>157929</v>
      </c>
      <c r="BG70" s="262">
        <f t="shared" si="88"/>
        <v>1</v>
      </c>
      <c r="BH70" s="176">
        <f>'[1]тыс. руб 1 знак'!$AV$67+44926</f>
        <v>157929</v>
      </c>
      <c r="BI70" s="262">
        <f t="shared" si="89"/>
        <v>1</v>
      </c>
      <c r="BJ70" s="176">
        <v>0</v>
      </c>
      <c r="BK70" s="262">
        <v>0</v>
      </c>
      <c r="BL70" s="175">
        <f t="shared" si="165"/>
        <v>0</v>
      </c>
      <c r="BM70" s="262">
        <f t="shared" si="90"/>
        <v>0</v>
      </c>
      <c r="BN70" s="260">
        <f t="shared" si="110"/>
        <v>0</v>
      </c>
      <c r="BO70" s="262">
        <f t="shared" si="91"/>
        <v>0</v>
      </c>
      <c r="BP70" s="176">
        <v>0</v>
      </c>
      <c r="BQ70" s="262">
        <v>0</v>
      </c>
      <c r="BR70" s="176">
        <f t="shared" si="166"/>
        <v>0</v>
      </c>
      <c r="BS70" s="263">
        <f t="shared" si="99"/>
        <v>0</v>
      </c>
      <c r="BT70" s="176">
        <f t="shared" si="180"/>
        <v>0</v>
      </c>
      <c r="BU70" s="263">
        <f t="shared" si="105"/>
        <v>0</v>
      </c>
      <c r="BV70" s="176">
        <v>0</v>
      </c>
      <c r="BW70" s="263">
        <v>0</v>
      </c>
      <c r="BX70" s="175"/>
      <c r="BY70" s="271"/>
      <c r="BZ70" s="176"/>
      <c r="CA70" s="271"/>
      <c r="CB70" s="176"/>
      <c r="CC70" s="271"/>
      <c r="CD70" s="176"/>
      <c r="CE70" s="271"/>
      <c r="CF70" s="176"/>
      <c r="CG70" s="272"/>
      <c r="CH70" s="176"/>
      <c r="CI70" s="272"/>
      <c r="CJ70" s="176"/>
      <c r="CK70" s="273"/>
    </row>
    <row r="71" spans="2:89" s="42" customFormat="1" ht="15" hidden="1" customHeight="1">
      <c r="B71" s="304"/>
      <c r="C71" s="270" t="s">
        <v>83</v>
      </c>
      <c r="D71" s="274"/>
      <c r="E71" s="249"/>
      <c r="F71" s="249"/>
      <c r="G71" s="249"/>
      <c r="H71" s="249"/>
      <c r="I71" s="249"/>
      <c r="J71" s="249"/>
      <c r="K71" s="251">
        <f>L71</f>
        <v>17055.316920000012</v>
      </c>
      <c r="L71" s="251">
        <f>174984.31692-L70</f>
        <v>17055.316920000012</v>
      </c>
      <c r="M71" s="251">
        <v>0</v>
      </c>
      <c r="N71" s="251">
        <f>O71</f>
        <v>13.999999999989086</v>
      </c>
      <c r="O71" s="251">
        <f>R71-L71</f>
        <v>13.999999999989086</v>
      </c>
      <c r="P71" s="251"/>
      <c r="Q71" s="249">
        <f>R71+S71</f>
        <v>17069.316920000001</v>
      </c>
      <c r="R71" s="249">
        <v>17069.316920000001</v>
      </c>
      <c r="S71" s="249"/>
      <c r="T71" s="252">
        <f t="shared" si="178"/>
        <v>0</v>
      </c>
      <c r="U71" s="253">
        <f t="shared" si="47"/>
        <v>0</v>
      </c>
      <c r="V71" s="251">
        <v>0</v>
      </c>
      <c r="W71" s="253">
        <f t="shared" si="48"/>
        <v>0</v>
      </c>
      <c r="X71" s="251"/>
      <c r="Y71" s="253" t="e">
        <f t="shared" si="49"/>
        <v>#DIV/0!</v>
      </c>
      <c r="Z71" s="251">
        <f t="shared" si="150"/>
        <v>17055.316920000012</v>
      </c>
      <c r="AA71" s="253">
        <f t="shared" si="51"/>
        <v>0.99917981486514051</v>
      </c>
      <c r="AB71" s="251">
        <f t="shared" si="101"/>
        <v>17055.316920000012</v>
      </c>
      <c r="AC71" s="253">
        <f t="shared" si="52"/>
        <v>0.99917981486514051</v>
      </c>
      <c r="AD71" s="251"/>
      <c r="AE71" s="251"/>
      <c r="AF71" s="251"/>
      <c r="AG71" s="251"/>
      <c r="AH71" s="251"/>
      <c r="AI71" s="251"/>
      <c r="AJ71" s="251"/>
      <c r="AK71" s="251">
        <f>AN71+AQ71</f>
        <v>0</v>
      </c>
      <c r="AL71" s="307"/>
      <c r="AM71" s="256">
        <f t="shared" si="93"/>
        <v>0</v>
      </c>
      <c r="AN71" s="251">
        <v>0</v>
      </c>
      <c r="AO71" s="253" t="e">
        <f t="shared" si="77"/>
        <v>#DIV/0!</v>
      </c>
      <c r="AP71" s="256">
        <f t="shared" si="94"/>
        <v>0</v>
      </c>
      <c r="AQ71" s="252">
        <v>0</v>
      </c>
      <c r="AR71" s="253"/>
      <c r="AS71" s="257">
        <v>0</v>
      </c>
      <c r="AT71" s="251">
        <f t="shared" si="179"/>
        <v>7406.1433499999985</v>
      </c>
      <c r="AU71" s="259">
        <f t="shared" si="95"/>
        <v>0.43424249368917578</v>
      </c>
      <c r="AV71" s="176">
        <f t="shared" si="181"/>
        <v>7406.1433499999985</v>
      </c>
      <c r="AW71" s="261">
        <f t="shared" si="96"/>
        <v>0.43424249368917578</v>
      </c>
      <c r="AX71" s="176">
        <v>0</v>
      </c>
      <c r="AY71" s="261">
        <v>0</v>
      </c>
      <c r="AZ71" s="176">
        <f>BB71+BD71</f>
        <v>9649.1735700000136</v>
      </c>
      <c r="BA71" s="262">
        <f t="shared" si="97"/>
        <v>0.56575750631082422</v>
      </c>
      <c r="BB71" s="176">
        <f>L71-AV71</f>
        <v>9649.1735700000136</v>
      </c>
      <c r="BC71" s="262">
        <f t="shared" si="98"/>
        <v>0.56575750631082422</v>
      </c>
      <c r="BD71" s="176">
        <v>0</v>
      </c>
      <c r="BE71" s="262">
        <v>0</v>
      </c>
      <c r="BF71" s="176">
        <f>BH71+BJ71</f>
        <v>7406.1433499999985</v>
      </c>
      <c r="BG71" s="262">
        <f t="shared" si="88"/>
        <v>1</v>
      </c>
      <c r="BH71" s="176">
        <f>165335.14335-BH70</f>
        <v>7406.1433499999985</v>
      </c>
      <c r="BI71" s="262">
        <f t="shared" si="89"/>
        <v>1</v>
      </c>
      <c r="BJ71" s="176">
        <v>0</v>
      </c>
      <c r="BK71" s="262">
        <v>0</v>
      </c>
      <c r="BL71" s="175">
        <f t="shared" si="165"/>
        <v>0</v>
      </c>
      <c r="BM71" s="262">
        <f t="shared" si="90"/>
        <v>0</v>
      </c>
      <c r="BN71" s="260">
        <f t="shared" si="110"/>
        <v>0</v>
      </c>
      <c r="BO71" s="262">
        <f t="shared" si="91"/>
        <v>0</v>
      </c>
      <c r="BP71" s="176">
        <v>0</v>
      </c>
      <c r="BQ71" s="262">
        <v>0</v>
      </c>
      <c r="BR71" s="176">
        <f t="shared" si="166"/>
        <v>9649.1735700000136</v>
      </c>
      <c r="BS71" s="263">
        <f t="shared" si="99"/>
        <v>0.56575750631082422</v>
      </c>
      <c r="BT71" s="176">
        <f t="shared" si="180"/>
        <v>9649.1735700000136</v>
      </c>
      <c r="BU71" s="263">
        <f t="shared" si="105"/>
        <v>0.56575750631082422</v>
      </c>
      <c r="BV71" s="176">
        <v>0</v>
      </c>
      <c r="BW71" s="263">
        <v>0</v>
      </c>
      <c r="BX71" s="175"/>
      <c r="BY71" s="271" t="e">
        <f>AD71/S71</f>
        <v>#DIV/0!</v>
      </c>
      <c r="BZ71" s="176" t="e">
        <f t="shared" si="153"/>
        <v>#REF!</v>
      </c>
      <c r="CA71" s="271" t="e">
        <f t="shared" ref="CA71:CA79" si="182">BZ71/BT71</f>
        <v>#REF!</v>
      </c>
      <c r="CB71" s="176" t="e">
        <f>#REF!-#REF!</f>
        <v>#REF!</v>
      </c>
      <c r="CC71" s="271" t="e">
        <f t="shared" ref="CC71:CC79" si="183">CB71/BV71</f>
        <v>#REF!</v>
      </c>
      <c r="CD71" s="176"/>
      <c r="CE71" s="271" t="e">
        <f t="shared" si="68"/>
        <v>#DIV/0!</v>
      </c>
      <c r="CF71" s="176"/>
      <c r="CG71" s="272"/>
      <c r="CH71" s="176"/>
      <c r="CI71" s="272"/>
      <c r="CJ71" s="176"/>
      <c r="CK71" s="273"/>
    </row>
    <row r="72" spans="2:89" s="269" customFormat="1" ht="42" customHeight="1">
      <c r="B72" s="275" t="s">
        <v>118</v>
      </c>
      <c r="C72" s="248" t="s">
        <v>119</v>
      </c>
      <c r="D72" s="274"/>
      <c r="E72" s="249"/>
      <c r="F72" s="250"/>
      <c r="G72" s="250"/>
      <c r="H72" s="249"/>
      <c r="I72" s="250"/>
      <c r="J72" s="250"/>
      <c r="K72" s="251">
        <f>L72</f>
        <v>1561.1560500000001</v>
      </c>
      <c r="L72" s="251">
        <f>L73</f>
        <v>1561.1560500000001</v>
      </c>
      <c r="M72" s="251">
        <v>0</v>
      </c>
      <c r="N72" s="251">
        <f>N73</f>
        <v>0</v>
      </c>
      <c r="O72" s="251">
        <f>O73</f>
        <v>0</v>
      </c>
      <c r="P72" s="251"/>
      <c r="Q72" s="249">
        <f>R72</f>
        <v>1561.1560500000001</v>
      </c>
      <c r="R72" s="249">
        <f>R73</f>
        <v>1561.1560500000001</v>
      </c>
      <c r="S72" s="249"/>
      <c r="T72" s="251">
        <f>V72</f>
        <v>0</v>
      </c>
      <c r="U72" s="253">
        <f t="shared" si="47"/>
        <v>0</v>
      </c>
      <c r="V72" s="251">
        <f>V73+V74</f>
        <v>0</v>
      </c>
      <c r="W72" s="253">
        <f t="shared" si="48"/>
        <v>0</v>
      </c>
      <c r="X72" s="251"/>
      <c r="Y72" s="253">
        <v>0</v>
      </c>
      <c r="Z72" s="251">
        <f t="shared" si="150"/>
        <v>1561.1560500000001</v>
      </c>
      <c r="AA72" s="253">
        <f t="shared" si="51"/>
        <v>1</v>
      </c>
      <c r="AB72" s="251">
        <f t="shared" si="101"/>
        <v>1561.1560500000001</v>
      </c>
      <c r="AC72" s="254">
        <f t="shared" si="52"/>
        <v>1</v>
      </c>
      <c r="AD72" s="251"/>
      <c r="AE72" s="251"/>
      <c r="AF72" s="251"/>
      <c r="AG72" s="251"/>
      <c r="AH72" s="251">
        <v>0</v>
      </c>
      <c r="AI72" s="252"/>
      <c r="AJ72" s="252"/>
      <c r="AK72" s="252">
        <v>0</v>
      </c>
      <c r="AL72" s="307">
        <v>0</v>
      </c>
      <c r="AM72" s="256">
        <f t="shared" si="93"/>
        <v>0</v>
      </c>
      <c r="AN72" s="252">
        <v>0</v>
      </c>
      <c r="AO72" s="253" t="e">
        <f t="shared" si="77"/>
        <v>#DIV/0!</v>
      </c>
      <c r="AP72" s="256">
        <f t="shared" si="94"/>
        <v>0</v>
      </c>
      <c r="AQ72" s="252">
        <v>0</v>
      </c>
      <c r="AR72" s="254" t="e">
        <f t="shared" si="57"/>
        <v>#DIV/0!</v>
      </c>
      <c r="AS72" s="258">
        <v>0</v>
      </c>
      <c r="AT72" s="252">
        <f t="shared" si="179"/>
        <v>85.794030000000006</v>
      </c>
      <c r="AU72" s="259">
        <f t="shared" si="95"/>
        <v>5.4955447919508113E-2</v>
      </c>
      <c r="AV72" s="260">
        <f>AV73</f>
        <v>85.794030000000006</v>
      </c>
      <c r="AW72" s="261">
        <f t="shared" si="96"/>
        <v>5.4955447919508113E-2</v>
      </c>
      <c r="AX72" s="176">
        <v>0</v>
      </c>
      <c r="AY72" s="261">
        <v>0</v>
      </c>
      <c r="AZ72" s="260">
        <f>BB72</f>
        <v>1475.36202</v>
      </c>
      <c r="BA72" s="262">
        <f t="shared" si="97"/>
        <v>0.94504455208049187</v>
      </c>
      <c r="BB72" s="260">
        <f>BB73</f>
        <v>1475.36202</v>
      </c>
      <c r="BC72" s="262">
        <f t="shared" si="98"/>
        <v>0.94504455208049187</v>
      </c>
      <c r="BD72" s="260">
        <v>0</v>
      </c>
      <c r="BE72" s="262">
        <v>0</v>
      </c>
      <c r="BF72" s="176">
        <f>BF73</f>
        <v>85.794030000000006</v>
      </c>
      <c r="BG72" s="262">
        <f t="shared" si="88"/>
        <v>1</v>
      </c>
      <c r="BH72" s="260">
        <f>BH73</f>
        <v>85.794030000000006</v>
      </c>
      <c r="BI72" s="262">
        <f t="shared" si="89"/>
        <v>1</v>
      </c>
      <c r="BJ72" s="176">
        <v>0</v>
      </c>
      <c r="BK72" s="262">
        <v>0</v>
      </c>
      <c r="BL72" s="260">
        <f>BL73</f>
        <v>0</v>
      </c>
      <c r="BM72" s="262">
        <f t="shared" si="90"/>
        <v>0</v>
      </c>
      <c r="BN72" s="260">
        <f>BN73</f>
        <v>0</v>
      </c>
      <c r="BO72" s="262">
        <f t="shared" si="91"/>
        <v>0</v>
      </c>
      <c r="BP72" s="176">
        <v>0</v>
      </c>
      <c r="BQ72" s="262">
        <v>0</v>
      </c>
      <c r="BR72" s="176">
        <f>BR73</f>
        <v>1475.36202</v>
      </c>
      <c r="BS72" s="263">
        <f t="shared" si="99"/>
        <v>0.94504455208049187</v>
      </c>
      <c r="BT72" s="260">
        <f>BT73</f>
        <v>1475.36202</v>
      </c>
      <c r="BU72" s="263">
        <f t="shared" si="105"/>
        <v>0.94504455208049187</v>
      </c>
      <c r="BV72" s="176">
        <v>0</v>
      </c>
      <c r="BW72" s="263">
        <v>0</v>
      </c>
      <c r="BX72" s="175" t="s">
        <v>81</v>
      </c>
      <c r="BY72" s="265">
        <v>0</v>
      </c>
      <c r="BZ72" s="176" t="e">
        <f t="shared" si="153"/>
        <v>#REF!</v>
      </c>
      <c r="CA72" s="265" t="e">
        <f t="shared" si="182"/>
        <v>#REF!</v>
      </c>
      <c r="CB72" s="277" t="e">
        <f>#REF!-#REF!</f>
        <v>#REF!</v>
      </c>
      <c r="CC72" s="265" t="e">
        <f t="shared" si="183"/>
        <v>#REF!</v>
      </c>
      <c r="CD72" s="176"/>
      <c r="CE72" s="265" t="e">
        <f t="shared" si="68"/>
        <v>#DIV/0!</v>
      </c>
      <c r="CF72" s="176" t="s">
        <v>81</v>
      </c>
      <c r="CG72" s="176" t="s">
        <v>81</v>
      </c>
      <c r="CH72" s="176"/>
      <c r="CI72" s="267"/>
      <c r="CJ72" s="176"/>
      <c r="CK72" s="268"/>
    </row>
    <row r="73" spans="2:89" s="42" customFormat="1" ht="21.75" hidden="1" customHeight="1">
      <c r="B73" s="304"/>
      <c r="C73" s="270" t="s">
        <v>83</v>
      </c>
      <c r="D73" s="274" t="s">
        <v>84</v>
      </c>
      <c r="E73" s="249">
        <f>F73+G73</f>
        <v>6487.7979599999999</v>
      </c>
      <c r="F73" s="249">
        <v>6487.7979599999999</v>
      </c>
      <c r="G73" s="249"/>
      <c r="H73" s="249">
        <f>I73+J73</f>
        <v>-4926.6419100000003</v>
      </c>
      <c r="I73" s="249">
        <f>L73-F73</f>
        <v>-4926.6419100000003</v>
      </c>
      <c r="J73" s="249"/>
      <c r="K73" s="251">
        <f>L73+M73</f>
        <v>1561.1560500000001</v>
      </c>
      <c r="L73" s="251">
        <v>1561.1560500000001</v>
      </c>
      <c r="M73" s="251">
        <v>0</v>
      </c>
      <c r="N73" s="251">
        <f>O73+P73</f>
        <v>0</v>
      </c>
      <c r="O73" s="251">
        <f>R73-L73</f>
        <v>0</v>
      </c>
      <c r="P73" s="251"/>
      <c r="Q73" s="249">
        <f>R73+S73</f>
        <v>1561.1560500000001</v>
      </c>
      <c r="R73" s="249">
        <v>1561.1560500000001</v>
      </c>
      <c r="S73" s="249"/>
      <c r="T73" s="252">
        <f t="shared" ref="T73" si="184">V73+X73</f>
        <v>0</v>
      </c>
      <c r="U73" s="253">
        <f t="shared" si="47"/>
        <v>0</v>
      </c>
      <c r="V73" s="251">
        <v>0</v>
      </c>
      <c r="W73" s="253">
        <f t="shared" si="48"/>
        <v>0</v>
      </c>
      <c r="X73" s="251"/>
      <c r="Y73" s="253" t="e">
        <f t="shared" si="49"/>
        <v>#DIV/0!</v>
      </c>
      <c r="Z73" s="251">
        <f t="shared" si="150"/>
        <v>1561.1560500000001</v>
      </c>
      <c r="AA73" s="253">
        <f t="shared" si="51"/>
        <v>1</v>
      </c>
      <c r="AB73" s="251">
        <f t="shared" si="101"/>
        <v>1561.1560500000001</v>
      </c>
      <c r="AC73" s="253">
        <f t="shared" si="52"/>
        <v>1</v>
      </c>
      <c r="AD73" s="251"/>
      <c r="AE73" s="251">
        <f>AF73+AG73</f>
        <v>0</v>
      </c>
      <c r="AF73" s="251"/>
      <c r="AG73" s="251"/>
      <c r="AH73" s="251">
        <f>AI73+AJ73</f>
        <v>923.85699999999997</v>
      </c>
      <c r="AI73" s="251">
        <f>923.857</f>
        <v>923.85699999999997</v>
      </c>
      <c r="AJ73" s="251"/>
      <c r="AK73" s="251">
        <f>AN73+AQ73</f>
        <v>0</v>
      </c>
      <c r="AL73" s="307">
        <f t="shared" si="87"/>
        <v>0</v>
      </c>
      <c r="AM73" s="256">
        <f t="shared" si="93"/>
        <v>0</v>
      </c>
      <c r="AN73" s="251">
        <v>0</v>
      </c>
      <c r="AO73" s="253">
        <f t="shared" si="77"/>
        <v>0</v>
      </c>
      <c r="AP73" s="256">
        <f t="shared" si="94"/>
        <v>0</v>
      </c>
      <c r="AQ73" s="252">
        <v>0</v>
      </c>
      <c r="AR73" s="253" t="e">
        <f t="shared" si="57"/>
        <v>#DIV/0!</v>
      </c>
      <c r="AS73" s="257">
        <v>0</v>
      </c>
      <c r="AT73" s="251">
        <f t="shared" si="179"/>
        <v>85.794030000000006</v>
      </c>
      <c r="AU73" s="259">
        <f t="shared" si="95"/>
        <v>5.4955447919508113E-2</v>
      </c>
      <c r="AV73" s="176">
        <v>85.794030000000006</v>
      </c>
      <c r="AW73" s="261">
        <f t="shared" si="96"/>
        <v>5.4955447919508113E-2</v>
      </c>
      <c r="AX73" s="176">
        <v>0</v>
      </c>
      <c r="AY73" s="261">
        <v>0</v>
      </c>
      <c r="AZ73" s="176">
        <f>BB73+BD73</f>
        <v>1475.36202</v>
      </c>
      <c r="BA73" s="262">
        <f t="shared" si="97"/>
        <v>0.94504455208049187</v>
      </c>
      <c r="BB73" s="176">
        <f>L73-AV73</f>
        <v>1475.36202</v>
      </c>
      <c r="BC73" s="262">
        <f t="shared" si="98"/>
        <v>0.94504455208049187</v>
      </c>
      <c r="BD73" s="176">
        <f>G73-AX73</f>
        <v>0</v>
      </c>
      <c r="BE73" s="262">
        <v>0</v>
      </c>
      <c r="BF73" s="176">
        <f>BH73+BJ73</f>
        <v>85.794030000000006</v>
      </c>
      <c r="BG73" s="262">
        <f t="shared" si="88"/>
        <v>1</v>
      </c>
      <c r="BH73" s="176">
        <f>'[1]тыс. руб 1 знак'!$AV$70</f>
        <v>85.794030000000006</v>
      </c>
      <c r="BI73" s="262">
        <f t="shared" si="89"/>
        <v>1</v>
      </c>
      <c r="BJ73" s="176">
        <v>0</v>
      </c>
      <c r="BK73" s="262">
        <v>0</v>
      </c>
      <c r="BL73" s="260">
        <f>BN73+BP73</f>
        <v>0</v>
      </c>
      <c r="BM73" s="262">
        <f t="shared" si="90"/>
        <v>0</v>
      </c>
      <c r="BN73" s="260">
        <f t="shared" si="110"/>
        <v>0</v>
      </c>
      <c r="BO73" s="262">
        <f t="shared" si="91"/>
        <v>0</v>
      </c>
      <c r="BP73" s="176">
        <v>0</v>
      </c>
      <c r="BQ73" s="262">
        <v>0</v>
      </c>
      <c r="BR73" s="176">
        <f>BT73+BV73</f>
        <v>1475.36202</v>
      </c>
      <c r="BS73" s="263">
        <f t="shared" si="99"/>
        <v>0.94504455208049187</v>
      </c>
      <c r="BT73" s="176">
        <f>L73-BH73</f>
        <v>1475.36202</v>
      </c>
      <c r="BU73" s="263">
        <f t="shared" si="105"/>
        <v>0.94504455208049187</v>
      </c>
      <c r="BV73" s="176">
        <v>0</v>
      </c>
      <c r="BW73" s="263">
        <v>0</v>
      </c>
      <c r="BX73" s="175"/>
      <c r="BY73" s="271" t="e">
        <f>AD73/S73</f>
        <v>#DIV/0!</v>
      </c>
      <c r="BZ73" s="176" t="e">
        <f t="shared" si="153"/>
        <v>#REF!</v>
      </c>
      <c r="CA73" s="271" t="e">
        <f t="shared" si="182"/>
        <v>#REF!</v>
      </c>
      <c r="CB73" s="176" t="e">
        <f>#REF!-#REF!</f>
        <v>#REF!</v>
      </c>
      <c r="CC73" s="271" t="e">
        <f t="shared" si="183"/>
        <v>#REF!</v>
      </c>
      <c r="CD73" s="176"/>
      <c r="CE73" s="271" t="e">
        <f t="shared" si="68"/>
        <v>#DIV/0!</v>
      </c>
      <c r="CF73" s="176">
        <f>CG73+CH73</f>
        <v>0</v>
      </c>
      <c r="CG73" s="272"/>
      <c r="CH73" s="176">
        <f>CI73+CJ73</f>
        <v>0</v>
      </c>
      <c r="CI73" s="272"/>
      <c r="CJ73" s="176">
        <f>CK73+CL73</f>
        <v>0</v>
      </c>
      <c r="CK73" s="273"/>
    </row>
    <row r="74" spans="2:89" s="269" customFormat="1" ht="82.5" customHeight="1">
      <c r="B74" s="275" t="s">
        <v>120</v>
      </c>
      <c r="C74" s="248" t="s">
        <v>121</v>
      </c>
      <c r="D74" s="312"/>
      <c r="E74" s="313"/>
      <c r="F74" s="314"/>
      <c r="G74" s="314"/>
      <c r="H74" s="313"/>
      <c r="I74" s="313"/>
      <c r="J74" s="313"/>
      <c r="K74" s="251">
        <f>K75</f>
        <v>1000</v>
      </c>
      <c r="L74" s="251">
        <f t="shared" ref="L74" si="185">L75</f>
        <v>1000</v>
      </c>
      <c r="M74" s="251">
        <v>0</v>
      </c>
      <c r="N74" s="251">
        <f>N75</f>
        <v>0</v>
      </c>
      <c r="O74" s="251">
        <f>O75</f>
        <v>0</v>
      </c>
      <c r="P74" s="251"/>
      <c r="Q74" s="249">
        <f>Q75</f>
        <v>1000</v>
      </c>
      <c r="R74" s="250">
        <f>R75</f>
        <v>1000</v>
      </c>
      <c r="S74" s="250"/>
      <c r="T74" s="252">
        <v>0</v>
      </c>
      <c r="U74" s="253">
        <v>0</v>
      </c>
      <c r="V74" s="252"/>
      <c r="W74" s="253">
        <v>0</v>
      </c>
      <c r="X74" s="252"/>
      <c r="Y74" s="253">
        <v>0</v>
      </c>
      <c r="Z74" s="251"/>
      <c r="AA74" s="253">
        <v>0</v>
      </c>
      <c r="AB74" s="251">
        <f t="shared" si="101"/>
        <v>1000</v>
      </c>
      <c r="AC74" s="254">
        <v>0</v>
      </c>
      <c r="AD74" s="252"/>
      <c r="AE74" s="251"/>
      <c r="AF74" s="252"/>
      <c r="AG74" s="252"/>
      <c r="AH74" s="251"/>
      <c r="AI74" s="252"/>
      <c r="AJ74" s="252"/>
      <c r="AK74" s="251">
        <f t="shared" ref="AK74:AK75" si="186">AN74+AQ74</f>
        <v>0</v>
      </c>
      <c r="AL74" s="307" t="e">
        <f t="shared" si="87"/>
        <v>#DIV/0!</v>
      </c>
      <c r="AM74" s="256">
        <v>0</v>
      </c>
      <c r="AN74" s="252">
        <v>0</v>
      </c>
      <c r="AO74" s="253" t="e">
        <f t="shared" si="77"/>
        <v>#DIV/0!</v>
      </c>
      <c r="AP74" s="256">
        <v>0</v>
      </c>
      <c r="AQ74" s="252">
        <v>0</v>
      </c>
      <c r="AR74" s="254" t="e">
        <f t="shared" si="57"/>
        <v>#DIV/0!</v>
      </c>
      <c r="AS74" s="258">
        <v>0</v>
      </c>
      <c r="AT74" s="252">
        <f t="shared" si="179"/>
        <v>985.62627999999995</v>
      </c>
      <c r="AU74" s="259">
        <f t="shared" si="95"/>
        <v>0.98562627999999997</v>
      </c>
      <c r="AV74" s="260">
        <f>AV75</f>
        <v>985.62627999999995</v>
      </c>
      <c r="AW74" s="261">
        <f t="shared" si="96"/>
        <v>0.98562627999999997</v>
      </c>
      <c r="AX74" s="176">
        <v>0</v>
      </c>
      <c r="AY74" s="261">
        <v>0</v>
      </c>
      <c r="AZ74" s="176">
        <f>BB74</f>
        <v>14.373720000000048</v>
      </c>
      <c r="BA74" s="262">
        <f t="shared" si="97"/>
        <v>1.4373720000000048E-2</v>
      </c>
      <c r="BB74" s="176">
        <f>BB75</f>
        <v>14.373720000000048</v>
      </c>
      <c r="BC74" s="262">
        <f t="shared" si="98"/>
        <v>1.4373720000000048E-2</v>
      </c>
      <c r="BD74" s="176">
        <v>0</v>
      </c>
      <c r="BE74" s="262">
        <v>0</v>
      </c>
      <c r="BF74" s="176">
        <f>BH74+BJ74</f>
        <v>985.62627999999995</v>
      </c>
      <c r="BG74" s="262">
        <f t="shared" si="88"/>
        <v>1</v>
      </c>
      <c r="BH74" s="260">
        <f>BH75</f>
        <v>985.62627999999995</v>
      </c>
      <c r="BI74" s="262">
        <f t="shared" si="89"/>
        <v>1</v>
      </c>
      <c r="BJ74" s="176">
        <v>0</v>
      </c>
      <c r="BK74" s="262">
        <v>0</v>
      </c>
      <c r="BL74" s="260">
        <f>BN74+BP74</f>
        <v>0</v>
      </c>
      <c r="BM74" s="262">
        <f t="shared" si="90"/>
        <v>0</v>
      </c>
      <c r="BN74" s="260">
        <f>BN75</f>
        <v>0</v>
      </c>
      <c r="BO74" s="262">
        <f t="shared" si="91"/>
        <v>0</v>
      </c>
      <c r="BP74" s="176">
        <v>0</v>
      </c>
      <c r="BQ74" s="262">
        <v>0</v>
      </c>
      <c r="BR74" s="176">
        <f>BT74+BV74</f>
        <v>14.373720000000048</v>
      </c>
      <c r="BS74" s="263">
        <f t="shared" si="99"/>
        <v>1.4373720000000048E-2</v>
      </c>
      <c r="BT74" s="260">
        <f>BT75</f>
        <v>14.373720000000048</v>
      </c>
      <c r="BU74" s="263">
        <f t="shared" si="105"/>
        <v>1.4373720000000048E-2</v>
      </c>
      <c r="BV74" s="176">
        <v>0</v>
      </c>
      <c r="BW74" s="263">
        <v>0</v>
      </c>
      <c r="BX74" s="302" t="s">
        <v>122</v>
      </c>
      <c r="BY74" s="265" t="e">
        <f>AD74/S74</f>
        <v>#DIV/0!</v>
      </c>
      <c r="BZ74" s="176"/>
      <c r="CA74" s="265">
        <f t="shared" si="182"/>
        <v>0</v>
      </c>
      <c r="CB74" s="277" t="e">
        <f>#REF!-#REF!</f>
        <v>#REF!</v>
      </c>
      <c r="CC74" s="265" t="e">
        <f t="shared" si="183"/>
        <v>#REF!</v>
      </c>
      <c r="CD74" s="260"/>
      <c r="CE74" s="265" t="e">
        <f t="shared" si="68"/>
        <v>#DIV/0!</v>
      </c>
      <c r="CF74" s="176"/>
      <c r="CG74" s="267"/>
      <c r="CH74" s="176"/>
      <c r="CI74" s="267"/>
      <c r="CJ74" s="176"/>
      <c r="CK74" s="268"/>
    </row>
    <row r="75" spans="2:89" s="42" customFormat="1" ht="21.75" hidden="1" customHeight="1">
      <c r="B75" s="304"/>
      <c r="C75" s="270" t="s">
        <v>123</v>
      </c>
      <c r="D75" s="274"/>
      <c r="E75" s="249"/>
      <c r="F75" s="249"/>
      <c r="G75" s="249"/>
      <c r="H75" s="249"/>
      <c r="I75" s="249"/>
      <c r="J75" s="249"/>
      <c r="K75" s="251">
        <f>L75</f>
        <v>1000</v>
      </c>
      <c r="L75" s="251">
        <v>1000</v>
      </c>
      <c r="M75" s="251">
        <v>0</v>
      </c>
      <c r="N75" s="251">
        <f>O75</f>
        <v>0</v>
      </c>
      <c r="O75" s="251">
        <f>R75-L75</f>
        <v>0</v>
      </c>
      <c r="P75" s="251"/>
      <c r="Q75" s="249">
        <f>R75</f>
        <v>1000</v>
      </c>
      <c r="R75" s="249">
        <v>1000</v>
      </c>
      <c r="S75" s="249"/>
      <c r="T75" s="252"/>
      <c r="U75" s="253">
        <f t="shared" si="47"/>
        <v>0</v>
      </c>
      <c r="V75" s="251"/>
      <c r="W75" s="253">
        <f t="shared" si="48"/>
        <v>0</v>
      </c>
      <c r="X75" s="251"/>
      <c r="Y75" s="253" t="e">
        <f t="shared" si="49"/>
        <v>#DIV/0!</v>
      </c>
      <c r="Z75" s="251"/>
      <c r="AA75" s="253">
        <f t="shared" si="51"/>
        <v>0</v>
      </c>
      <c r="AB75" s="251">
        <f t="shared" si="101"/>
        <v>1000</v>
      </c>
      <c r="AC75" s="253">
        <f t="shared" si="52"/>
        <v>1</v>
      </c>
      <c r="AD75" s="251"/>
      <c r="AE75" s="251"/>
      <c r="AF75" s="251"/>
      <c r="AG75" s="251"/>
      <c r="AH75" s="251"/>
      <c r="AI75" s="251"/>
      <c r="AJ75" s="251"/>
      <c r="AK75" s="251">
        <f t="shared" si="186"/>
        <v>0</v>
      </c>
      <c r="AL75" s="307" t="e">
        <f t="shared" si="87"/>
        <v>#DIV/0!</v>
      </c>
      <c r="AM75" s="256">
        <v>0</v>
      </c>
      <c r="AN75" s="252">
        <v>0</v>
      </c>
      <c r="AO75" s="253" t="e">
        <f t="shared" si="77"/>
        <v>#DIV/0!</v>
      </c>
      <c r="AP75" s="256">
        <v>0</v>
      </c>
      <c r="AQ75" s="252">
        <v>0</v>
      </c>
      <c r="AR75" s="253" t="e">
        <f t="shared" si="57"/>
        <v>#DIV/0!</v>
      </c>
      <c r="AS75" s="257">
        <v>0</v>
      </c>
      <c r="AT75" s="251">
        <f t="shared" si="179"/>
        <v>985.62627999999995</v>
      </c>
      <c r="AU75" s="259">
        <f t="shared" si="95"/>
        <v>0.98562627999999997</v>
      </c>
      <c r="AV75" s="176">
        <v>985.62627999999995</v>
      </c>
      <c r="AW75" s="261">
        <f t="shared" si="96"/>
        <v>0.98562627999999997</v>
      </c>
      <c r="AX75" s="176">
        <v>0</v>
      </c>
      <c r="AY75" s="261">
        <v>0</v>
      </c>
      <c r="AZ75" s="176">
        <f>BB75</f>
        <v>14.373720000000048</v>
      </c>
      <c r="BA75" s="262">
        <f t="shared" si="97"/>
        <v>1.4373720000000048E-2</v>
      </c>
      <c r="BB75" s="176">
        <f>L75-AV75</f>
        <v>14.373720000000048</v>
      </c>
      <c r="BC75" s="262">
        <f t="shared" si="98"/>
        <v>1.4373720000000048E-2</v>
      </c>
      <c r="BD75" s="176">
        <v>0</v>
      </c>
      <c r="BE75" s="262">
        <v>0</v>
      </c>
      <c r="BF75" s="176">
        <f>BH75+BJ75</f>
        <v>985.62627999999995</v>
      </c>
      <c r="BG75" s="262">
        <f t="shared" si="88"/>
        <v>1</v>
      </c>
      <c r="BH75" s="176">
        <f>'[1]тыс. руб 1 знак'!$AV$72</f>
        <v>985.62627999999995</v>
      </c>
      <c r="BI75" s="262">
        <f t="shared" si="89"/>
        <v>1</v>
      </c>
      <c r="BJ75" s="176">
        <v>0</v>
      </c>
      <c r="BK75" s="262">
        <v>0</v>
      </c>
      <c r="BL75" s="260">
        <f>BN75+BP75</f>
        <v>0</v>
      </c>
      <c r="BM75" s="262">
        <f t="shared" si="90"/>
        <v>0</v>
      </c>
      <c r="BN75" s="260">
        <f t="shared" si="110"/>
        <v>0</v>
      </c>
      <c r="BO75" s="262">
        <f t="shared" si="91"/>
        <v>0</v>
      </c>
      <c r="BP75" s="176">
        <v>0</v>
      </c>
      <c r="BQ75" s="262">
        <v>0</v>
      </c>
      <c r="BR75" s="176">
        <f>BT75+BV75</f>
        <v>14.373720000000048</v>
      </c>
      <c r="BS75" s="263">
        <f t="shared" si="99"/>
        <v>1.4373720000000048E-2</v>
      </c>
      <c r="BT75" s="176">
        <f>L75-BH75</f>
        <v>14.373720000000048</v>
      </c>
      <c r="BU75" s="263">
        <f t="shared" si="105"/>
        <v>1.4373720000000048E-2</v>
      </c>
      <c r="BV75" s="176">
        <v>0</v>
      </c>
      <c r="BW75" s="263">
        <v>0</v>
      </c>
      <c r="BX75" s="175"/>
      <c r="BY75" s="271" t="e">
        <f>AD75/S75</f>
        <v>#DIV/0!</v>
      </c>
      <c r="BZ75" s="176"/>
      <c r="CA75" s="271">
        <f t="shared" si="182"/>
        <v>0</v>
      </c>
      <c r="CB75" s="176" t="e">
        <f>#REF!-#REF!</f>
        <v>#REF!</v>
      </c>
      <c r="CC75" s="271" t="e">
        <f t="shared" si="183"/>
        <v>#REF!</v>
      </c>
      <c r="CD75" s="176"/>
      <c r="CE75" s="271" t="e">
        <f t="shared" si="68"/>
        <v>#DIV/0!</v>
      </c>
      <c r="CF75" s="176"/>
      <c r="CG75" s="272"/>
      <c r="CH75" s="176"/>
      <c r="CI75" s="272"/>
      <c r="CJ75" s="176"/>
      <c r="CK75" s="273"/>
    </row>
    <row r="76" spans="2:89" s="311" customFormat="1" ht="60.75" hidden="1" customHeight="1">
      <c r="B76" s="275" t="s">
        <v>124</v>
      </c>
      <c r="C76" s="248" t="s">
        <v>125</v>
      </c>
      <c r="D76" s="305"/>
      <c r="E76" s="306"/>
      <c r="F76" s="306"/>
      <c r="G76" s="306"/>
      <c r="H76" s="306"/>
      <c r="I76" s="306"/>
      <c r="J76" s="306"/>
      <c r="K76" s="251">
        <f>K77</f>
        <v>0</v>
      </c>
      <c r="L76" s="251">
        <f>L77</f>
        <v>0</v>
      </c>
      <c r="M76" s="251">
        <v>0</v>
      </c>
      <c r="N76" s="251">
        <f>N77</f>
        <v>0</v>
      </c>
      <c r="O76" s="251">
        <f>O77</f>
        <v>0</v>
      </c>
      <c r="P76" s="251"/>
      <c r="Q76" s="249">
        <f>Q77</f>
        <v>0</v>
      </c>
      <c r="R76" s="250">
        <f>R77</f>
        <v>0</v>
      </c>
      <c r="S76" s="249"/>
      <c r="T76" s="251">
        <v>0</v>
      </c>
      <c r="U76" s="253">
        <v>0</v>
      </c>
      <c r="V76" s="251"/>
      <c r="W76" s="253">
        <v>0</v>
      </c>
      <c r="X76" s="251"/>
      <c r="Y76" s="253">
        <v>0</v>
      </c>
      <c r="Z76" s="251"/>
      <c r="AA76" s="253">
        <v>0</v>
      </c>
      <c r="AB76" s="251">
        <f t="shared" si="101"/>
        <v>0</v>
      </c>
      <c r="AC76" s="254">
        <v>0</v>
      </c>
      <c r="AD76" s="251"/>
      <c r="AE76" s="251"/>
      <c r="AF76" s="251"/>
      <c r="AG76" s="251"/>
      <c r="AH76" s="251">
        <v>0</v>
      </c>
      <c r="AI76" s="251"/>
      <c r="AJ76" s="251"/>
      <c r="AK76" s="251">
        <v>0</v>
      </c>
      <c r="AL76" s="255">
        <v>0</v>
      </c>
      <c r="AM76" s="256" t="e">
        <f t="shared" si="93"/>
        <v>#DIV/0!</v>
      </c>
      <c r="AN76" s="252">
        <v>0</v>
      </c>
      <c r="AO76" s="257" t="e">
        <f t="shared" si="77"/>
        <v>#DIV/0!</v>
      </c>
      <c r="AP76" s="256" t="e">
        <f t="shared" si="94"/>
        <v>#DIV/0!</v>
      </c>
      <c r="AQ76" s="252">
        <v>0</v>
      </c>
      <c r="AR76" s="258" t="e">
        <f t="shared" si="57"/>
        <v>#DIV/0!</v>
      </c>
      <c r="AS76" s="258">
        <v>0</v>
      </c>
      <c r="AT76" s="251">
        <f t="shared" si="179"/>
        <v>0</v>
      </c>
      <c r="AU76" s="259" t="e">
        <f t="shared" si="95"/>
        <v>#DIV/0!</v>
      </c>
      <c r="AV76" s="176">
        <f>AV77</f>
        <v>0</v>
      </c>
      <c r="AW76" s="261" t="e">
        <f t="shared" si="96"/>
        <v>#DIV/0!</v>
      </c>
      <c r="AX76" s="176">
        <v>0</v>
      </c>
      <c r="AY76" s="261">
        <v>0</v>
      </c>
      <c r="AZ76" s="176">
        <f>BB76</f>
        <v>0</v>
      </c>
      <c r="BA76" s="262" t="e">
        <f t="shared" si="97"/>
        <v>#DIV/0!</v>
      </c>
      <c r="BB76" s="176">
        <f>BB77</f>
        <v>0</v>
      </c>
      <c r="BC76" s="262" t="e">
        <f t="shared" si="98"/>
        <v>#DIV/0!</v>
      </c>
      <c r="BD76" s="176"/>
      <c r="BE76" s="262" t="e">
        <f>BD76/S76</f>
        <v>#DIV/0!</v>
      </c>
      <c r="BF76" s="176">
        <v>0</v>
      </c>
      <c r="BG76" s="262" t="e">
        <f t="shared" si="88"/>
        <v>#DIV/0!</v>
      </c>
      <c r="BH76" s="176">
        <v>0</v>
      </c>
      <c r="BI76" s="262" t="e">
        <f t="shared" si="89"/>
        <v>#DIV/0!</v>
      </c>
      <c r="BJ76" s="176">
        <v>0</v>
      </c>
      <c r="BK76" s="262">
        <v>0</v>
      </c>
      <c r="BL76" s="260">
        <v>0</v>
      </c>
      <c r="BM76" s="262" t="e">
        <f t="shared" si="90"/>
        <v>#DIV/0!</v>
      </c>
      <c r="BN76" s="260">
        <v>0</v>
      </c>
      <c r="BO76" s="262" t="e">
        <f t="shared" si="91"/>
        <v>#DIV/0!</v>
      </c>
      <c r="BP76" s="176">
        <v>0</v>
      </c>
      <c r="BQ76" s="262">
        <v>0</v>
      </c>
      <c r="BR76" s="176">
        <v>0</v>
      </c>
      <c r="BS76" s="263" t="e">
        <f t="shared" si="99"/>
        <v>#DIV/0!</v>
      </c>
      <c r="BT76" s="176">
        <v>0</v>
      </c>
      <c r="BU76" s="263" t="e">
        <f t="shared" si="105"/>
        <v>#DIV/0!</v>
      </c>
      <c r="BV76" s="176">
        <v>0</v>
      </c>
      <c r="BW76" s="263">
        <v>0</v>
      </c>
      <c r="BX76" s="303"/>
      <c r="BY76" s="265" t="e">
        <f>AD76/S76</f>
        <v>#DIV/0!</v>
      </c>
      <c r="BZ76" s="176"/>
      <c r="CA76" s="265" t="e">
        <f t="shared" si="182"/>
        <v>#DIV/0!</v>
      </c>
      <c r="CB76" s="277" t="e">
        <f>#REF!-#REF!</f>
        <v>#REF!</v>
      </c>
      <c r="CC76" s="265" t="e">
        <f t="shared" si="183"/>
        <v>#REF!</v>
      </c>
      <c r="CD76" s="176"/>
      <c r="CE76" s="265" t="e">
        <f t="shared" si="68"/>
        <v>#DIV/0!</v>
      </c>
      <c r="CF76" s="176"/>
      <c r="CG76" s="309"/>
      <c r="CH76" s="176"/>
      <c r="CI76" s="309"/>
      <c r="CJ76" s="176"/>
      <c r="CK76" s="310"/>
    </row>
    <row r="77" spans="2:89" s="42" customFormat="1" ht="21.75" hidden="1" customHeight="1">
      <c r="B77" s="304"/>
      <c r="C77" s="270" t="s">
        <v>82</v>
      </c>
      <c r="D77" s="274"/>
      <c r="E77" s="249"/>
      <c r="F77" s="249"/>
      <c r="G77" s="249"/>
      <c r="H77" s="249"/>
      <c r="I77" s="249"/>
      <c r="J77" s="249"/>
      <c r="K77" s="251">
        <f>L77</f>
        <v>0</v>
      </c>
      <c r="L77" s="251">
        <v>0</v>
      </c>
      <c r="M77" s="251">
        <v>0</v>
      </c>
      <c r="N77" s="251">
        <f>O77</f>
        <v>0</v>
      </c>
      <c r="O77" s="251">
        <f>R77-L77</f>
        <v>0</v>
      </c>
      <c r="P77" s="251"/>
      <c r="Q77" s="249">
        <f>R77</f>
        <v>0</v>
      </c>
      <c r="R77" s="249">
        <v>0</v>
      </c>
      <c r="S77" s="249"/>
      <c r="T77" s="252"/>
      <c r="U77" s="253" t="e">
        <f t="shared" si="47"/>
        <v>#DIV/0!</v>
      </c>
      <c r="V77" s="251"/>
      <c r="W77" s="253" t="e">
        <f t="shared" si="48"/>
        <v>#DIV/0!</v>
      </c>
      <c r="X77" s="251"/>
      <c r="Y77" s="253" t="e">
        <f t="shared" si="49"/>
        <v>#DIV/0!</v>
      </c>
      <c r="Z77" s="251"/>
      <c r="AA77" s="253" t="e">
        <f t="shared" si="51"/>
        <v>#DIV/0!</v>
      </c>
      <c r="AB77" s="251">
        <f t="shared" si="101"/>
        <v>0</v>
      </c>
      <c r="AC77" s="253" t="e">
        <f t="shared" si="52"/>
        <v>#DIV/0!</v>
      </c>
      <c r="AD77" s="251"/>
      <c r="AE77" s="251"/>
      <c r="AF77" s="251"/>
      <c r="AG77" s="251"/>
      <c r="AH77" s="251"/>
      <c r="AI77" s="251"/>
      <c r="AJ77" s="251"/>
      <c r="AK77" s="251"/>
      <c r="AL77" s="307" t="e">
        <f t="shared" si="87"/>
        <v>#DIV/0!</v>
      </c>
      <c r="AM77" s="256" t="e">
        <f t="shared" si="93"/>
        <v>#DIV/0!</v>
      </c>
      <c r="AN77" s="252">
        <v>0</v>
      </c>
      <c r="AO77" s="253" t="e">
        <f t="shared" si="77"/>
        <v>#DIV/0!</v>
      </c>
      <c r="AP77" s="256" t="e">
        <f t="shared" si="94"/>
        <v>#DIV/0!</v>
      </c>
      <c r="AQ77" s="252">
        <v>0</v>
      </c>
      <c r="AR77" s="253" t="e">
        <f t="shared" si="57"/>
        <v>#DIV/0!</v>
      </c>
      <c r="AS77" s="257">
        <v>0</v>
      </c>
      <c r="AT77" s="251">
        <f t="shared" si="179"/>
        <v>0</v>
      </c>
      <c r="AU77" s="259" t="e">
        <f t="shared" si="95"/>
        <v>#DIV/0!</v>
      </c>
      <c r="AV77" s="176">
        <v>0</v>
      </c>
      <c r="AW77" s="261" t="e">
        <f t="shared" si="96"/>
        <v>#DIV/0!</v>
      </c>
      <c r="AX77" s="176">
        <v>0</v>
      </c>
      <c r="AY77" s="261">
        <v>0</v>
      </c>
      <c r="AZ77" s="176">
        <f>BB77</f>
        <v>0</v>
      </c>
      <c r="BA77" s="262" t="e">
        <f t="shared" si="97"/>
        <v>#DIV/0!</v>
      </c>
      <c r="BB77" s="176">
        <f>L77-AV77</f>
        <v>0</v>
      </c>
      <c r="BC77" s="262" t="e">
        <f t="shared" si="98"/>
        <v>#DIV/0!</v>
      </c>
      <c r="BD77" s="176"/>
      <c r="BE77" s="262" t="e">
        <f>BD77/S77</f>
        <v>#DIV/0!</v>
      </c>
      <c r="BF77" s="176">
        <v>0</v>
      </c>
      <c r="BG77" s="262" t="e">
        <f t="shared" si="88"/>
        <v>#DIV/0!</v>
      </c>
      <c r="BH77" s="176">
        <f>'[1]тыс. руб 1 знак'!$AV$74</f>
        <v>0</v>
      </c>
      <c r="BI77" s="262" t="e">
        <f t="shared" si="89"/>
        <v>#DIV/0!</v>
      </c>
      <c r="BJ77" s="176">
        <v>0</v>
      </c>
      <c r="BK77" s="262">
        <v>0</v>
      </c>
      <c r="BL77" s="260">
        <v>0</v>
      </c>
      <c r="BM77" s="262" t="e">
        <f t="shared" si="90"/>
        <v>#DIV/0!</v>
      </c>
      <c r="BN77" s="260">
        <f t="shared" si="110"/>
        <v>0</v>
      </c>
      <c r="BO77" s="262" t="e">
        <f t="shared" si="91"/>
        <v>#DIV/0!</v>
      </c>
      <c r="BP77" s="176">
        <v>0</v>
      </c>
      <c r="BQ77" s="262">
        <v>0</v>
      </c>
      <c r="BR77" s="176">
        <v>0</v>
      </c>
      <c r="BS77" s="263" t="e">
        <f t="shared" si="99"/>
        <v>#DIV/0!</v>
      </c>
      <c r="BT77" s="176">
        <f>L77-BH77</f>
        <v>0</v>
      </c>
      <c r="BU77" s="263" t="e">
        <f t="shared" si="105"/>
        <v>#DIV/0!</v>
      </c>
      <c r="BV77" s="176">
        <v>0</v>
      </c>
      <c r="BW77" s="263">
        <v>0</v>
      </c>
      <c r="BX77" s="175"/>
      <c r="BY77" s="271" t="e">
        <f>AD77/S77</f>
        <v>#DIV/0!</v>
      </c>
      <c r="BZ77" s="176"/>
      <c r="CA77" s="271" t="e">
        <f t="shared" si="182"/>
        <v>#DIV/0!</v>
      </c>
      <c r="CB77" s="176" t="e">
        <f>#REF!-#REF!</f>
        <v>#REF!</v>
      </c>
      <c r="CC77" s="271" t="e">
        <f t="shared" si="183"/>
        <v>#REF!</v>
      </c>
      <c r="CD77" s="176"/>
      <c r="CE77" s="271" t="e">
        <f t="shared" si="68"/>
        <v>#DIV/0!</v>
      </c>
      <c r="CF77" s="176"/>
      <c r="CG77" s="272"/>
      <c r="CH77" s="176"/>
      <c r="CI77" s="272"/>
      <c r="CJ77" s="176"/>
      <c r="CK77" s="273"/>
    </row>
    <row r="78" spans="2:89" s="311" customFormat="1" ht="81" customHeight="1">
      <c r="B78" s="275" t="s">
        <v>126</v>
      </c>
      <c r="C78" s="248" t="s">
        <v>127</v>
      </c>
      <c r="D78" s="305"/>
      <c r="E78" s="306"/>
      <c r="F78" s="306"/>
      <c r="G78" s="306"/>
      <c r="H78" s="306"/>
      <c r="I78" s="306"/>
      <c r="J78" s="306"/>
      <c r="K78" s="251">
        <f>L78</f>
        <v>1590.5597499999999</v>
      </c>
      <c r="L78" s="251">
        <f>L79+L80</f>
        <v>1590.5597499999999</v>
      </c>
      <c r="M78" s="251">
        <v>0</v>
      </c>
      <c r="N78" s="251">
        <f>O78</f>
        <v>4500</v>
      </c>
      <c r="O78" s="251">
        <f>O79+O80</f>
        <v>4500</v>
      </c>
      <c r="P78" s="251"/>
      <c r="Q78" s="249">
        <f>R78</f>
        <v>6090.5597500000003</v>
      </c>
      <c r="R78" s="250">
        <f>R79+R80</f>
        <v>6090.5597500000003</v>
      </c>
      <c r="S78" s="249"/>
      <c r="T78" s="251">
        <f>V78</f>
        <v>3334.0315399999999</v>
      </c>
      <c r="U78" s="253">
        <f t="shared" si="47"/>
        <v>0.54740970893520913</v>
      </c>
      <c r="V78" s="251">
        <f>V79</f>
        <v>3334.0315399999999</v>
      </c>
      <c r="W78" s="253">
        <f t="shared" si="48"/>
        <v>0.54740970893520913</v>
      </c>
      <c r="X78" s="251"/>
      <c r="Y78" s="253">
        <v>0</v>
      </c>
      <c r="Z78" s="251">
        <f>AB78</f>
        <v>2756.5282099999999</v>
      </c>
      <c r="AA78" s="253">
        <f t="shared" si="51"/>
        <v>0.45259029106479087</v>
      </c>
      <c r="AB78" s="251">
        <f>AB79+AB80</f>
        <v>2756.5282099999999</v>
      </c>
      <c r="AC78" s="254">
        <f t="shared" si="52"/>
        <v>0.45259029106479087</v>
      </c>
      <c r="AD78" s="251"/>
      <c r="AE78" s="251"/>
      <c r="AF78" s="251"/>
      <c r="AG78" s="251"/>
      <c r="AH78" s="251">
        <v>0</v>
      </c>
      <c r="AI78" s="251"/>
      <c r="AJ78" s="251"/>
      <c r="AK78" s="251">
        <v>0</v>
      </c>
      <c r="AL78" s="255">
        <v>0</v>
      </c>
      <c r="AM78" s="256">
        <f t="shared" si="93"/>
        <v>0</v>
      </c>
      <c r="AN78" s="252">
        <v>0</v>
      </c>
      <c r="AO78" s="257" t="e">
        <f t="shared" si="77"/>
        <v>#DIV/0!</v>
      </c>
      <c r="AP78" s="256">
        <f t="shared" si="94"/>
        <v>0</v>
      </c>
      <c r="AQ78" s="252">
        <v>0</v>
      </c>
      <c r="AR78" s="258" t="e">
        <f t="shared" si="57"/>
        <v>#DIV/0!</v>
      </c>
      <c r="AS78" s="258">
        <v>0</v>
      </c>
      <c r="AT78" s="251">
        <f>AV78</f>
        <v>0</v>
      </c>
      <c r="AU78" s="259">
        <f t="shared" si="95"/>
        <v>0</v>
      </c>
      <c r="AV78" s="176">
        <f>AV79+AV80</f>
        <v>0</v>
      </c>
      <c r="AW78" s="261">
        <f t="shared" si="96"/>
        <v>0</v>
      </c>
      <c r="AX78" s="176">
        <v>0</v>
      </c>
      <c r="AY78" s="261">
        <v>0</v>
      </c>
      <c r="AZ78" s="176">
        <f>BB78</f>
        <v>1590.5597499999999</v>
      </c>
      <c r="BA78" s="262">
        <f t="shared" si="97"/>
        <v>1</v>
      </c>
      <c r="BB78" s="176">
        <f>BB79+BB80</f>
        <v>1590.5597499999999</v>
      </c>
      <c r="BC78" s="262">
        <f t="shared" si="98"/>
        <v>1</v>
      </c>
      <c r="BD78" s="176">
        <v>0</v>
      </c>
      <c r="BE78" s="262">
        <v>0</v>
      </c>
      <c r="BF78" s="176">
        <f>BH78</f>
        <v>0</v>
      </c>
      <c r="BG78" s="262">
        <v>0</v>
      </c>
      <c r="BH78" s="176">
        <f>BH79+BH80</f>
        <v>0</v>
      </c>
      <c r="BI78" s="262">
        <v>0</v>
      </c>
      <c r="BJ78" s="176">
        <v>0</v>
      </c>
      <c r="BK78" s="262">
        <v>0</v>
      </c>
      <c r="BL78" s="260">
        <f>BN78</f>
        <v>0</v>
      </c>
      <c r="BM78" s="262">
        <v>0</v>
      </c>
      <c r="BN78" s="260">
        <f>BN79+BN80</f>
        <v>0</v>
      </c>
      <c r="BO78" s="262">
        <v>0</v>
      </c>
      <c r="BP78" s="176">
        <v>0</v>
      </c>
      <c r="BQ78" s="262">
        <v>0</v>
      </c>
      <c r="BR78" s="176">
        <f>BT78</f>
        <v>1590.5597499999999</v>
      </c>
      <c r="BS78" s="263">
        <f t="shared" si="99"/>
        <v>1</v>
      </c>
      <c r="BT78" s="176">
        <f>BT79+BT80</f>
        <v>1590.5597499999999</v>
      </c>
      <c r="BU78" s="263">
        <f t="shared" si="105"/>
        <v>1</v>
      </c>
      <c r="BV78" s="176">
        <v>0</v>
      </c>
      <c r="BW78" s="263">
        <v>0</v>
      </c>
      <c r="BX78" s="302" t="s">
        <v>128</v>
      </c>
      <c r="BY78" s="265">
        <v>0</v>
      </c>
      <c r="BZ78" s="176" t="e">
        <f t="shared" ref="BZ78:BZ81" si="187">CB78+CD78</f>
        <v>#REF!</v>
      </c>
      <c r="CA78" s="265" t="e">
        <f t="shared" si="182"/>
        <v>#REF!</v>
      </c>
      <c r="CB78" s="277" t="e">
        <f>#REF!-#REF!</f>
        <v>#REF!</v>
      </c>
      <c r="CC78" s="265" t="e">
        <f t="shared" si="183"/>
        <v>#REF!</v>
      </c>
      <c r="CD78" s="176"/>
      <c r="CE78" s="265" t="e">
        <f t="shared" si="68"/>
        <v>#DIV/0!</v>
      </c>
      <c r="CF78" s="176" t="s">
        <v>81</v>
      </c>
      <c r="CG78" s="176" t="s">
        <v>81</v>
      </c>
      <c r="CH78" s="176"/>
      <c r="CI78" s="309"/>
      <c r="CJ78" s="176"/>
      <c r="CK78" s="310"/>
    </row>
    <row r="79" spans="2:89" s="42" customFormat="1" ht="15" hidden="1" customHeight="1">
      <c r="B79" s="315"/>
      <c r="C79" s="270" t="s">
        <v>82</v>
      </c>
      <c r="D79" s="274"/>
      <c r="E79" s="249"/>
      <c r="F79" s="249"/>
      <c r="G79" s="249"/>
      <c r="H79" s="249"/>
      <c r="I79" s="249"/>
      <c r="J79" s="249"/>
      <c r="K79" s="251">
        <f>L79</f>
        <v>0</v>
      </c>
      <c r="L79" s="251">
        <v>0</v>
      </c>
      <c r="M79" s="251">
        <v>0</v>
      </c>
      <c r="N79" s="251">
        <f>O79</f>
        <v>4500</v>
      </c>
      <c r="O79" s="251">
        <f>R79-L79</f>
        <v>4500</v>
      </c>
      <c r="P79" s="251"/>
      <c r="Q79" s="249">
        <f>R79</f>
        <v>4500</v>
      </c>
      <c r="R79" s="249">
        <v>4500</v>
      </c>
      <c r="S79" s="249"/>
      <c r="T79" s="251">
        <f>V79</f>
        <v>3334.0315399999999</v>
      </c>
      <c r="U79" s="253">
        <f t="shared" si="47"/>
        <v>0.74089589777777776</v>
      </c>
      <c r="V79" s="251">
        <v>3334.0315399999999</v>
      </c>
      <c r="W79" s="253">
        <f t="shared" si="48"/>
        <v>0.74089589777777776</v>
      </c>
      <c r="X79" s="251"/>
      <c r="Y79" s="253" t="e">
        <f t="shared" si="49"/>
        <v>#DIV/0!</v>
      </c>
      <c r="Z79" s="251">
        <f t="shared" ref="Z79:Z81" si="188">AB79+AD79</f>
        <v>1165.9684600000001</v>
      </c>
      <c r="AA79" s="253">
        <f t="shared" si="51"/>
        <v>0.25910410222222224</v>
      </c>
      <c r="AB79" s="251">
        <f>R79-V79</f>
        <v>1165.9684600000001</v>
      </c>
      <c r="AC79" s="253">
        <f t="shared" si="52"/>
        <v>0.25910410222222224</v>
      </c>
      <c r="AD79" s="251"/>
      <c r="AE79" s="251"/>
      <c r="AF79" s="251"/>
      <c r="AG79" s="251"/>
      <c r="AH79" s="251"/>
      <c r="AI79" s="251"/>
      <c r="AJ79" s="251"/>
      <c r="AK79" s="251">
        <f>AN79+AQ79</f>
        <v>0</v>
      </c>
      <c r="AL79" s="255" t="e">
        <f t="shared" si="87"/>
        <v>#DIV/0!</v>
      </c>
      <c r="AM79" s="256">
        <f t="shared" si="93"/>
        <v>0</v>
      </c>
      <c r="AN79" s="252">
        <v>0</v>
      </c>
      <c r="AO79" s="257" t="e">
        <f t="shared" si="77"/>
        <v>#DIV/0!</v>
      </c>
      <c r="AP79" s="256">
        <f t="shared" si="94"/>
        <v>0</v>
      </c>
      <c r="AQ79" s="252">
        <v>0</v>
      </c>
      <c r="AR79" s="257" t="e">
        <f t="shared" si="57"/>
        <v>#DIV/0!</v>
      </c>
      <c r="AS79" s="257">
        <v>0</v>
      </c>
      <c r="AT79" s="251">
        <f>AV79+AX79</f>
        <v>0</v>
      </c>
      <c r="AU79" s="259" t="e">
        <f t="shared" si="95"/>
        <v>#DIV/0!</v>
      </c>
      <c r="AV79" s="176">
        <v>0</v>
      </c>
      <c r="AW79" s="261" t="e">
        <f t="shared" si="96"/>
        <v>#DIV/0!</v>
      </c>
      <c r="AX79" s="176">
        <v>0</v>
      </c>
      <c r="AY79" s="261">
        <v>0</v>
      </c>
      <c r="AZ79" s="176">
        <f>BB79+BD79</f>
        <v>0</v>
      </c>
      <c r="BA79" s="262" t="e">
        <f t="shared" si="97"/>
        <v>#DIV/0!</v>
      </c>
      <c r="BB79" s="176">
        <f>L79-AV79</f>
        <v>0</v>
      </c>
      <c r="BC79" s="262" t="e">
        <f t="shared" si="98"/>
        <v>#DIV/0!</v>
      </c>
      <c r="BD79" s="176">
        <v>0</v>
      </c>
      <c r="BE79" s="262">
        <v>0</v>
      </c>
      <c r="BF79" s="176">
        <f>BH79</f>
        <v>0</v>
      </c>
      <c r="BG79" s="262" t="e">
        <f t="shared" si="88"/>
        <v>#DIV/0!</v>
      </c>
      <c r="BH79" s="176">
        <v>0</v>
      </c>
      <c r="BI79" s="262" t="e">
        <f t="shared" si="89"/>
        <v>#DIV/0!</v>
      </c>
      <c r="BJ79" s="176">
        <v>0</v>
      </c>
      <c r="BK79" s="262">
        <v>0</v>
      </c>
      <c r="BL79" s="175">
        <f>BN79</f>
        <v>0</v>
      </c>
      <c r="BM79" s="262" t="e">
        <f t="shared" si="90"/>
        <v>#DIV/0!</v>
      </c>
      <c r="BN79" s="260">
        <f t="shared" si="110"/>
        <v>0</v>
      </c>
      <c r="BO79" s="262" t="e">
        <f t="shared" si="91"/>
        <v>#DIV/0!</v>
      </c>
      <c r="BP79" s="176">
        <v>0</v>
      </c>
      <c r="BQ79" s="262">
        <v>0</v>
      </c>
      <c r="BR79" s="176">
        <f>BT79</f>
        <v>0</v>
      </c>
      <c r="BS79" s="263" t="e">
        <f t="shared" si="99"/>
        <v>#DIV/0!</v>
      </c>
      <c r="BT79" s="176">
        <f t="shared" ref="BT79:BT80" si="189">L79-BH79</f>
        <v>0</v>
      </c>
      <c r="BU79" s="263" t="e">
        <f t="shared" si="105"/>
        <v>#DIV/0!</v>
      </c>
      <c r="BV79" s="176">
        <v>0</v>
      </c>
      <c r="BW79" s="263">
        <v>0</v>
      </c>
      <c r="BX79" s="175"/>
      <c r="BY79" s="271" t="e">
        <f>AD79/S79</f>
        <v>#DIV/0!</v>
      </c>
      <c r="BZ79" s="176" t="e">
        <f t="shared" si="187"/>
        <v>#REF!</v>
      </c>
      <c r="CA79" s="271" t="e">
        <f t="shared" si="182"/>
        <v>#REF!</v>
      </c>
      <c r="CB79" s="176" t="e">
        <f>#REF!-#REF!</f>
        <v>#REF!</v>
      </c>
      <c r="CC79" s="271" t="e">
        <f t="shared" si="183"/>
        <v>#REF!</v>
      </c>
      <c r="CD79" s="176"/>
      <c r="CE79" s="271" t="e">
        <f t="shared" si="68"/>
        <v>#DIV/0!</v>
      </c>
      <c r="CF79" s="176"/>
      <c r="CG79" s="272"/>
      <c r="CH79" s="176"/>
      <c r="CI79" s="272"/>
      <c r="CJ79" s="176"/>
      <c r="CK79" s="273"/>
    </row>
    <row r="80" spans="2:89" s="42" customFormat="1" ht="15" hidden="1" customHeight="1">
      <c r="B80" s="315"/>
      <c r="C80" s="270" t="s">
        <v>123</v>
      </c>
      <c r="D80" s="274"/>
      <c r="E80" s="249"/>
      <c r="F80" s="249"/>
      <c r="G80" s="249"/>
      <c r="H80" s="249"/>
      <c r="I80" s="249"/>
      <c r="J80" s="249"/>
      <c r="K80" s="251">
        <f>L80</f>
        <v>1590.5597499999999</v>
      </c>
      <c r="L80" s="251">
        <f>R80</f>
        <v>1590.5597499999999</v>
      </c>
      <c r="M80" s="251">
        <v>0</v>
      </c>
      <c r="N80" s="251">
        <f>O80</f>
        <v>0</v>
      </c>
      <c r="O80" s="251"/>
      <c r="P80" s="251"/>
      <c r="Q80" s="249">
        <f>R80</f>
        <v>1590.5597499999999</v>
      </c>
      <c r="R80" s="249">
        <v>1590.5597499999999</v>
      </c>
      <c r="S80" s="249"/>
      <c r="T80" s="251"/>
      <c r="U80" s="253"/>
      <c r="V80" s="251"/>
      <c r="W80" s="253"/>
      <c r="X80" s="251"/>
      <c r="Y80" s="253"/>
      <c r="Z80" s="251">
        <f t="shared" si="188"/>
        <v>1590.5597499999999</v>
      </c>
      <c r="AA80" s="253"/>
      <c r="AB80" s="251">
        <f>R80-V80</f>
        <v>1590.5597499999999</v>
      </c>
      <c r="AC80" s="253"/>
      <c r="AD80" s="251"/>
      <c r="AE80" s="251"/>
      <c r="AF80" s="251"/>
      <c r="AG80" s="251"/>
      <c r="AH80" s="251"/>
      <c r="AI80" s="251"/>
      <c r="AJ80" s="251"/>
      <c r="AK80" s="251">
        <f>AN80+AQ80</f>
        <v>0</v>
      </c>
      <c r="AL80" s="255"/>
      <c r="AM80" s="256">
        <f t="shared" si="93"/>
        <v>0</v>
      </c>
      <c r="AN80" s="251">
        <v>0</v>
      </c>
      <c r="AO80" s="257"/>
      <c r="AP80" s="256">
        <f t="shared" si="94"/>
        <v>0</v>
      </c>
      <c r="AQ80" s="252">
        <v>0</v>
      </c>
      <c r="AR80" s="257"/>
      <c r="AS80" s="257">
        <v>0</v>
      </c>
      <c r="AT80" s="251">
        <f>AV80+AX80</f>
        <v>0</v>
      </c>
      <c r="AU80" s="259">
        <f t="shared" si="95"/>
        <v>0</v>
      </c>
      <c r="AV80" s="176">
        <v>0</v>
      </c>
      <c r="AW80" s="261">
        <f t="shared" si="96"/>
        <v>0</v>
      </c>
      <c r="AX80" s="176">
        <v>0</v>
      </c>
      <c r="AY80" s="261">
        <v>0</v>
      </c>
      <c r="AZ80" s="176">
        <f>BB80+BD80</f>
        <v>1590.5597499999999</v>
      </c>
      <c r="BA80" s="262">
        <f t="shared" si="97"/>
        <v>1</v>
      </c>
      <c r="BB80" s="176">
        <f>L80-AV80</f>
        <v>1590.5597499999999</v>
      </c>
      <c r="BC80" s="262">
        <f t="shared" si="98"/>
        <v>1</v>
      </c>
      <c r="BD80" s="176">
        <v>0</v>
      </c>
      <c r="BE80" s="262">
        <v>0</v>
      </c>
      <c r="BF80" s="176">
        <f>BH80</f>
        <v>0</v>
      </c>
      <c r="BG80" s="262" t="e">
        <f t="shared" si="88"/>
        <v>#DIV/0!</v>
      </c>
      <c r="BH80" s="176">
        <v>0</v>
      </c>
      <c r="BI80" s="262" t="e">
        <f t="shared" si="89"/>
        <v>#DIV/0!</v>
      </c>
      <c r="BJ80" s="176">
        <v>0</v>
      </c>
      <c r="BK80" s="262">
        <v>0</v>
      </c>
      <c r="BL80" s="175">
        <f>BN80</f>
        <v>0</v>
      </c>
      <c r="BM80" s="262" t="e">
        <f t="shared" si="90"/>
        <v>#DIV/0!</v>
      </c>
      <c r="BN80" s="260">
        <f t="shared" si="110"/>
        <v>0</v>
      </c>
      <c r="BO80" s="262" t="e">
        <f t="shared" si="91"/>
        <v>#DIV/0!</v>
      </c>
      <c r="BP80" s="176">
        <v>0</v>
      </c>
      <c r="BQ80" s="262">
        <v>0</v>
      </c>
      <c r="BR80" s="176">
        <f>BT80</f>
        <v>1590.5597499999999</v>
      </c>
      <c r="BS80" s="263">
        <f t="shared" si="99"/>
        <v>1</v>
      </c>
      <c r="BT80" s="176">
        <f t="shared" si="189"/>
        <v>1590.5597499999999</v>
      </c>
      <c r="BU80" s="263">
        <f t="shared" si="105"/>
        <v>1</v>
      </c>
      <c r="BV80" s="176">
        <v>0</v>
      </c>
      <c r="BW80" s="263">
        <v>0</v>
      </c>
      <c r="BX80" s="175"/>
      <c r="BY80" s="271"/>
      <c r="BZ80" s="176"/>
      <c r="CA80" s="271"/>
      <c r="CB80" s="176"/>
      <c r="CC80" s="271"/>
      <c r="CD80" s="176"/>
      <c r="CE80" s="271"/>
      <c r="CF80" s="176"/>
      <c r="CG80" s="272"/>
      <c r="CH80" s="176"/>
      <c r="CI80" s="272"/>
      <c r="CJ80" s="176"/>
      <c r="CK80" s="273"/>
    </row>
    <row r="81" spans="2:89" s="336" customFormat="1" ht="37.5" customHeight="1" thickBot="1">
      <c r="B81" s="316" t="s">
        <v>124</v>
      </c>
      <c r="C81" s="248" t="s">
        <v>129</v>
      </c>
      <c r="D81" s="317" t="s">
        <v>130</v>
      </c>
      <c r="E81" s="318">
        <f t="shared" ref="E81:E82" si="190">F81+G81</f>
        <v>34242.36247</v>
      </c>
      <c r="F81" s="318">
        <v>34218.762470000001</v>
      </c>
      <c r="G81" s="318">
        <v>23.6</v>
      </c>
      <c r="H81" s="318">
        <f t="shared" ref="H81:H82" si="191">I81+J81</f>
        <v>3828.7557000000002</v>
      </c>
      <c r="I81" s="318">
        <f>L81-F81</f>
        <v>3852.3557000000001</v>
      </c>
      <c r="J81" s="318">
        <f>M81-G81</f>
        <v>-23.6</v>
      </c>
      <c r="K81" s="319">
        <f t="shared" ref="K81" si="192">L81+M81</f>
        <v>38071.118170000002</v>
      </c>
      <c r="L81" s="251">
        <v>38071.118170000002</v>
      </c>
      <c r="M81" s="251">
        <v>0</v>
      </c>
      <c r="N81" s="319">
        <f t="shared" ref="N81" si="193">O81+P81</f>
        <v>3740.8475899999976</v>
      </c>
      <c r="O81" s="319">
        <f>R81-L81</f>
        <v>3740.8475899999976</v>
      </c>
      <c r="P81" s="319"/>
      <c r="Q81" s="320">
        <f>R81+S81</f>
        <v>41811.965759999999</v>
      </c>
      <c r="R81" s="321">
        <v>41811.965759999999</v>
      </c>
      <c r="S81" s="320">
        <f>M81+P81</f>
        <v>0</v>
      </c>
      <c r="T81" s="322">
        <f t="shared" ref="T81" si="194">V81+X81</f>
        <v>6363.6551499999996</v>
      </c>
      <c r="U81" s="323">
        <f t="shared" si="47"/>
        <v>0.152196985583679</v>
      </c>
      <c r="V81" s="324">
        <v>6363.6551499999996</v>
      </c>
      <c r="W81" s="323">
        <f t="shared" si="48"/>
        <v>0.152196985583679</v>
      </c>
      <c r="X81" s="319"/>
      <c r="Y81" s="323">
        <v>0</v>
      </c>
      <c r="Z81" s="319">
        <f t="shared" si="188"/>
        <v>31707.463020000003</v>
      </c>
      <c r="AA81" s="323">
        <f t="shared" si="51"/>
        <v>0.7583346643398764</v>
      </c>
      <c r="AB81" s="319">
        <f t="shared" si="101"/>
        <v>31707.463020000003</v>
      </c>
      <c r="AC81" s="323">
        <f t="shared" si="52"/>
        <v>0.7583346643398764</v>
      </c>
      <c r="AD81" s="319"/>
      <c r="AE81" s="319">
        <f t="shared" ref="AE81" si="195">AF81+AG81</f>
        <v>0</v>
      </c>
      <c r="AF81" s="319"/>
      <c r="AG81" s="319"/>
      <c r="AH81" s="319">
        <f t="shared" ref="AH81" si="196">AI81+AJ81</f>
        <v>1063.5015000000001</v>
      </c>
      <c r="AI81" s="319">
        <v>1063.5015000000001</v>
      </c>
      <c r="AJ81" s="319"/>
      <c r="AK81" s="319">
        <f>AN81+AQ81</f>
        <v>2332.40886</v>
      </c>
      <c r="AL81" s="325">
        <f t="shared" si="87"/>
        <v>2.1931411098150777</v>
      </c>
      <c r="AM81" s="256">
        <f t="shared" si="93"/>
        <v>5.5783286377588386E-2</v>
      </c>
      <c r="AN81" s="319">
        <v>2332.40886</v>
      </c>
      <c r="AO81" s="326">
        <f t="shared" si="77"/>
        <v>2.1931411098150777</v>
      </c>
      <c r="AP81" s="256">
        <f t="shared" si="94"/>
        <v>5.5783286377588386E-2</v>
      </c>
      <c r="AQ81" s="252">
        <v>0</v>
      </c>
      <c r="AR81" s="326" t="e">
        <f t="shared" si="57"/>
        <v>#DIV/0!</v>
      </c>
      <c r="AS81" s="257">
        <v>0</v>
      </c>
      <c r="AT81" s="319">
        <f>AV81+AX81</f>
        <v>30200.523270000002</v>
      </c>
      <c r="AU81" s="327">
        <f t="shared" si="95"/>
        <v>0.79326599064269088</v>
      </c>
      <c r="AV81" s="328">
        <v>30200.523270000002</v>
      </c>
      <c r="AW81" s="329">
        <f t="shared" si="96"/>
        <v>0.79326599064269088</v>
      </c>
      <c r="AX81" s="176">
        <v>0</v>
      </c>
      <c r="AY81" s="261">
        <v>0</v>
      </c>
      <c r="AZ81" s="191">
        <f>BB81+BD81</f>
        <v>7870.5949000000001</v>
      </c>
      <c r="BA81" s="330">
        <f t="shared" si="97"/>
        <v>0.20673400935730907</v>
      </c>
      <c r="BB81" s="176">
        <f>L81-AV81</f>
        <v>7870.5949000000001</v>
      </c>
      <c r="BC81" s="330">
        <f t="shared" si="98"/>
        <v>0.20673400935730907</v>
      </c>
      <c r="BD81" s="191">
        <v>0</v>
      </c>
      <c r="BE81" s="331">
        <v>0</v>
      </c>
      <c r="BF81" s="191">
        <f>BH81+BJ81</f>
        <v>30200.523270000002</v>
      </c>
      <c r="BG81" s="262">
        <f t="shared" si="88"/>
        <v>1</v>
      </c>
      <c r="BH81" s="191">
        <v>30200.523270000002</v>
      </c>
      <c r="BI81" s="262">
        <f t="shared" si="89"/>
        <v>1</v>
      </c>
      <c r="BJ81" s="176">
        <v>0</v>
      </c>
      <c r="BK81" s="262">
        <v>0</v>
      </c>
      <c r="BL81" s="260">
        <f t="shared" ref="BL81" si="197">BN81+BP81</f>
        <v>0</v>
      </c>
      <c r="BM81" s="262">
        <f t="shared" si="90"/>
        <v>0</v>
      </c>
      <c r="BN81" s="260">
        <f t="shared" si="110"/>
        <v>0</v>
      </c>
      <c r="BO81" s="262">
        <f t="shared" si="91"/>
        <v>0</v>
      </c>
      <c r="BP81" s="161">
        <v>0</v>
      </c>
      <c r="BQ81" s="262">
        <v>0</v>
      </c>
      <c r="BR81" s="192">
        <f t="shared" ref="BR81" si="198">BT81+BV81</f>
        <v>7870.5949000000001</v>
      </c>
      <c r="BS81" s="263">
        <f t="shared" si="99"/>
        <v>0.20673400935730907</v>
      </c>
      <c r="BT81" s="176">
        <f>L81-BH81</f>
        <v>7870.5949000000001</v>
      </c>
      <c r="BU81" s="263">
        <f t="shared" si="105"/>
        <v>0.20673400935730907</v>
      </c>
      <c r="BV81" s="161">
        <v>0</v>
      </c>
      <c r="BW81" s="263">
        <v>0</v>
      </c>
      <c r="BX81" s="332" t="s">
        <v>131</v>
      </c>
      <c r="BY81" s="265">
        <v>0</v>
      </c>
      <c r="BZ81" s="161" t="e">
        <f t="shared" si="187"/>
        <v>#REF!</v>
      </c>
      <c r="CA81" s="265" t="e">
        <f t="shared" ref="CA81:CA104" si="199">BZ81/BT81</f>
        <v>#REF!</v>
      </c>
      <c r="CB81" s="333" t="e">
        <f>#REF!-#REF!</f>
        <v>#REF!</v>
      </c>
      <c r="CC81" s="265" t="e">
        <f t="shared" ref="CC81:CC104" si="200">CB81/BV81</f>
        <v>#REF!</v>
      </c>
      <c r="CD81" s="161"/>
      <c r="CE81" s="265" t="e">
        <f t="shared" si="68"/>
        <v>#DIV/0!</v>
      </c>
      <c r="CF81" s="161" t="s">
        <v>132</v>
      </c>
      <c r="CG81" s="161" t="s">
        <v>81</v>
      </c>
      <c r="CH81" s="161">
        <f t="shared" ref="CH81" si="201">CI81+CJ81</f>
        <v>0</v>
      </c>
      <c r="CI81" s="334"/>
      <c r="CJ81" s="161">
        <f t="shared" ref="CJ81" si="202">CK81+CL81</f>
        <v>0</v>
      </c>
      <c r="CK81" s="335"/>
    </row>
    <row r="82" spans="2:89" s="358" customFormat="1" ht="51.75" customHeight="1" thickBot="1">
      <c r="B82" s="337" t="s">
        <v>133</v>
      </c>
      <c r="C82" s="338" t="s">
        <v>134</v>
      </c>
      <c r="D82" s="339" t="s">
        <v>135</v>
      </c>
      <c r="E82" s="339" t="e">
        <f t="shared" si="190"/>
        <v>#REF!</v>
      </c>
      <c r="F82" s="340" t="e">
        <f>SUM(#REF!)</f>
        <v>#REF!</v>
      </c>
      <c r="G82" s="340" t="e">
        <f>SUM(#REF!)</f>
        <v>#REF!</v>
      </c>
      <c r="H82" s="339" t="e">
        <f t="shared" si="191"/>
        <v>#REF!</v>
      </c>
      <c r="I82" s="340" t="e">
        <f>SUM(#REF!)</f>
        <v>#REF!</v>
      </c>
      <c r="J82" s="340" t="e">
        <f>SUM(#REF!)</f>
        <v>#REF!</v>
      </c>
      <c r="K82" s="341">
        <f t="shared" ref="K82:T82" si="203">K84+K89+K94+K97+K103</f>
        <v>82271.859989999997</v>
      </c>
      <c r="L82" s="341">
        <f t="shared" si="203"/>
        <v>82271.859989999997</v>
      </c>
      <c r="M82" s="341">
        <f t="shared" si="203"/>
        <v>0</v>
      </c>
      <c r="N82" s="341">
        <f t="shared" si="203"/>
        <v>0</v>
      </c>
      <c r="O82" s="341">
        <f t="shared" si="203"/>
        <v>0</v>
      </c>
      <c r="P82" s="341">
        <f t="shared" si="203"/>
        <v>0</v>
      </c>
      <c r="Q82" s="342">
        <f t="shared" si="203"/>
        <v>82271.859989999997</v>
      </c>
      <c r="R82" s="342">
        <f t="shared" si="203"/>
        <v>82271.859989999997</v>
      </c>
      <c r="S82" s="342">
        <f t="shared" si="203"/>
        <v>0</v>
      </c>
      <c r="T82" s="341">
        <f t="shared" si="203"/>
        <v>285445.52205000003</v>
      </c>
      <c r="U82" s="343">
        <f t="shared" si="47"/>
        <v>3.469540157287017</v>
      </c>
      <c r="V82" s="341">
        <f>V84+V89+V94+V97+V103</f>
        <v>285445.52205000003</v>
      </c>
      <c r="W82" s="343">
        <f t="shared" si="48"/>
        <v>3.469540157287017</v>
      </c>
      <c r="X82" s="341">
        <f>X84+X89+X94+X97+X103</f>
        <v>0</v>
      </c>
      <c r="Y82" s="343">
        <v>0</v>
      </c>
      <c r="Z82" s="341">
        <f>Z84+Z89+Z94+Z97+Z103</f>
        <v>-203173.66206</v>
      </c>
      <c r="AA82" s="343">
        <f t="shared" si="51"/>
        <v>-2.4695401572870166</v>
      </c>
      <c r="AB82" s="344">
        <f t="shared" si="101"/>
        <v>-203173.66206000003</v>
      </c>
      <c r="AC82" s="343">
        <f t="shared" si="52"/>
        <v>-2.469540157287017</v>
      </c>
      <c r="AD82" s="341">
        <f t="shared" ref="AD82:AJ82" si="204">AD84+AD89+AD94+AD97+AD103</f>
        <v>0</v>
      </c>
      <c r="AE82" s="341">
        <f t="shared" si="204"/>
        <v>0</v>
      </c>
      <c r="AF82" s="341">
        <f t="shared" si="204"/>
        <v>0</v>
      </c>
      <c r="AG82" s="341">
        <f t="shared" si="204"/>
        <v>0</v>
      </c>
      <c r="AH82" s="341">
        <f t="shared" si="204"/>
        <v>111137.72538999999</v>
      </c>
      <c r="AI82" s="341">
        <f t="shared" si="204"/>
        <v>111137.72538999999</v>
      </c>
      <c r="AJ82" s="341">
        <f t="shared" si="204"/>
        <v>0</v>
      </c>
      <c r="AK82" s="341">
        <f>AN82+AQ82</f>
        <v>7440.3669499999996</v>
      </c>
      <c r="AL82" s="341" t="e">
        <f>AL84+AL89+AL94+AL97+AL103</f>
        <v>#DIV/0!</v>
      </c>
      <c r="AM82" s="345">
        <f>AK82/Q82</f>
        <v>9.0436352732323824E-2</v>
      </c>
      <c r="AN82" s="341">
        <f>AN89+AN94+AN97+AN103</f>
        <v>7440.3669499999996</v>
      </c>
      <c r="AO82" s="341" t="e">
        <f>AO84+AO89+AO94+AO97+AO103</f>
        <v>#DIV/0!</v>
      </c>
      <c r="AP82" s="345">
        <f>AN82/R82</f>
        <v>9.0436352732323824E-2</v>
      </c>
      <c r="AQ82" s="341">
        <f>AQ84+AQ89+AQ94+AQ97+AQ103</f>
        <v>0</v>
      </c>
      <c r="AR82" s="341" t="e">
        <f>AR84+AR89+AR94+AR97+AR103</f>
        <v>#DIV/0!</v>
      </c>
      <c r="AS82" s="343">
        <v>0</v>
      </c>
      <c r="AT82" s="341">
        <f>AT84+AT89+AT94+AT97+AT103</f>
        <v>59936.487460000004</v>
      </c>
      <c r="AU82" s="346">
        <f t="shared" si="95"/>
        <v>0.7285174720406854</v>
      </c>
      <c r="AV82" s="347">
        <f>AV84+AV89+AV94+AV97+AV103</f>
        <v>59936.487460000004</v>
      </c>
      <c r="AW82" s="348">
        <f t="shared" si="96"/>
        <v>0.7285174720406854</v>
      </c>
      <c r="AX82" s="341">
        <f>AX84+AX89+AX94+AX97+AX103</f>
        <v>0</v>
      </c>
      <c r="AY82" s="349">
        <v>0</v>
      </c>
      <c r="AZ82" s="341">
        <f>AZ84+AZ89+AZ94+AZ97+AZ103</f>
        <v>22335.372530000001</v>
      </c>
      <c r="BA82" s="349">
        <f t="shared" si="97"/>
        <v>0.27148252795931471</v>
      </c>
      <c r="BB82" s="341">
        <f>BB84+BB89+BB94+BB97+BB103</f>
        <v>22335.372529999997</v>
      </c>
      <c r="BC82" s="349">
        <f t="shared" si="98"/>
        <v>0.27148252795931466</v>
      </c>
      <c r="BD82" s="341">
        <f>BD84+BD89+BD94+BD97+BD103</f>
        <v>0</v>
      </c>
      <c r="BE82" s="349">
        <v>0</v>
      </c>
      <c r="BF82" s="350">
        <f t="shared" ref="BF82:BP82" si="205">BF84+BF89+BF94+BF97+BF103</f>
        <v>59936.487460000004</v>
      </c>
      <c r="BG82" s="351">
        <f>BF82/AT82</f>
        <v>1</v>
      </c>
      <c r="BH82" s="341">
        <f t="shared" si="205"/>
        <v>59936.487460000004</v>
      </c>
      <c r="BI82" s="351">
        <f>BH82/AV82</f>
        <v>1</v>
      </c>
      <c r="BJ82" s="341">
        <f t="shared" si="205"/>
        <v>0</v>
      </c>
      <c r="BK82" s="351">
        <v>0</v>
      </c>
      <c r="BL82" s="341">
        <f t="shared" si="205"/>
        <v>0</v>
      </c>
      <c r="BM82" s="351">
        <f>BL82/AT82</f>
        <v>0</v>
      </c>
      <c r="BN82" s="341">
        <f t="shared" si="205"/>
        <v>0</v>
      </c>
      <c r="BO82" s="351">
        <f>BN82/AV82</f>
        <v>0</v>
      </c>
      <c r="BP82" s="341">
        <f t="shared" si="205"/>
        <v>0</v>
      </c>
      <c r="BQ82" s="351">
        <v>0</v>
      </c>
      <c r="BR82" s="341">
        <f t="shared" ref="BR82" si="206">BR84+BR89+BR94+BR97+BR103</f>
        <v>22335.372529999997</v>
      </c>
      <c r="BS82" s="352">
        <f t="shared" si="99"/>
        <v>0.27148252795931466</v>
      </c>
      <c r="BT82" s="341">
        <f t="shared" ref="BT82" si="207">BT84+BT89+BT94+BT97+BT103</f>
        <v>22335.372529999997</v>
      </c>
      <c r="BU82" s="352">
        <f t="shared" si="105"/>
        <v>0.27148252795931466</v>
      </c>
      <c r="BV82" s="341">
        <f t="shared" ref="BV82" si="208">BV84+BV89+BV94+BV97+BV103</f>
        <v>0</v>
      </c>
      <c r="BW82" s="352">
        <v>0</v>
      </c>
      <c r="BX82" s="342"/>
      <c r="BY82" s="353">
        <v>0</v>
      </c>
      <c r="BZ82" s="354" t="e">
        <f>BZ84+BZ89+BZ94+BZ97+BZ103</f>
        <v>#REF!</v>
      </c>
      <c r="CA82" s="353" t="e">
        <f t="shared" si="199"/>
        <v>#REF!</v>
      </c>
      <c r="CB82" s="355" t="e">
        <f>#REF!-#REF!</f>
        <v>#REF!</v>
      </c>
      <c r="CC82" s="353" t="e">
        <f t="shared" si="200"/>
        <v>#REF!</v>
      </c>
      <c r="CD82" s="354">
        <f>CD84+CD89+CD94+CD97+CD103</f>
        <v>0</v>
      </c>
      <c r="CE82" s="353" t="e">
        <f t="shared" si="68"/>
        <v>#DIV/0!</v>
      </c>
      <c r="CF82" s="354" t="s">
        <v>136</v>
      </c>
      <c r="CG82" s="354" t="s">
        <v>137</v>
      </c>
      <c r="CH82" s="354">
        <f>CH84+CH89+CH94+CH97+CH103</f>
        <v>0</v>
      </c>
      <c r="CI82" s="356"/>
      <c r="CJ82" s="354">
        <f>CJ84+CJ89+CJ94+CJ97+CJ103</f>
        <v>0</v>
      </c>
      <c r="CK82" s="357"/>
    </row>
    <row r="83" spans="2:89" s="185" customFormat="1" ht="26.25" customHeight="1">
      <c r="B83" s="359"/>
      <c r="C83" s="360" t="s">
        <v>77</v>
      </c>
      <c r="D83" s="361"/>
      <c r="E83" s="362"/>
      <c r="F83" s="363"/>
      <c r="G83" s="363"/>
      <c r="H83" s="362"/>
      <c r="I83" s="363"/>
      <c r="J83" s="363"/>
      <c r="K83" s="364"/>
      <c r="L83" s="365"/>
      <c r="M83" s="365"/>
      <c r="N83" s="364"/>
      <c r="O83" s="365"/>
      <c r="P83" s="365"/>
      <c r="Q83" s="362"/>
      <c r="R83" s="363"/>
      <c r="S83" s="363"/>
      <c r="T83" s="365"/>
      <c r="U83" s="366"/>
      <c r="V83" s="365"/>
      <c r="W83" s="366"/>
      <c r="X83" s="365"/>
      <c r="Y83" s="366"/>
      <c r="Z83" s="364"/>
      <c r="AA83" s="366"/>
      <c r="AB83" s="364"/>
      <c r="AC83" s="366"/>
      <c r="AD83" s="365"/>
      <c r="AE83" s="364"/>
      <c r="AF83" s="365"/>
      <c r="AG83" s="365"/>
      <c r="AH83" s="364"/>
      <c r="AI83" s="365"/>
      <c r="AJ83" s="365"/>
      <c r="AK83" s="365"/>
      <c r="AL83" s="367"/>
      <c r="AM83" s="368"/>
      <c r="AN83" s="365"/>
      <c r="AO83" s="369"/>
      <c r="AP83" s="368"/>
      <c r="AQ83" s="365"/>
      <c r="AR83" s="370"/>
      <c r="AS83" s="370"/>
      <c r="AT83" s="365"/>
      <c r="AU83" s="371"/>
      <c r="AV83" s="372"/>
      <c r="AW83" s="373"/>
      <c r="AX83" s="372"/>
      <c r="AY83" s="374"/>
      <c r="AZ83" s="372"/>
      <c r="BA83" s="375"/>
      <c r="BB83" s="376"/>
      <c r="BC83" s="375"/>
      <c r="BD83" s="372"/>
      <c r="BE83" s="377"/>
      <c r="BF83" s="378"/>
      <c r="BG83" s="379"/>
      <c r="BH83" s="372"/>
      <c r="BI83" s="380"/>
      <c r="BJ83" s="372"/>
      <c r="BK83" s="380"/>
      <c r="BL83" s="378"/>
      <c r="BM83" s="379"/>
      <c r="BN83" s="372"/>
      <c r="BO83" s="380"/>
      <c r="BP83" s="372"/>
      <c r="BQ83" s="380"/>
      <c r="BR83" s="378"/>
      <c r="BS83" s="263"/>
      <c r="BT83" s="372"/>
      <c r="BU83" s="372"/>
      <c r="BV83" s="372"/>
      <c r="BW83" s="372"/>
      <c r="BX83" s="381"/>
      <c r="BY83" s="265"/>
      <c r="BZ83" s="382"/>
      <c r="CA83" s="265" t="e">
        <f t="shared" si="199"/>
        <v>#DIV/0!</v>
      </c>
      <c r="CB83" s="178" t="e">
        <f>#REF!-#REF!</f>
        <v>#REF!</v>
      </c>
      <c r="CC83" s="265" t="e">
        <f t="shared" si="200"/>
        <v>#REF!</v>
      </c>
      <c r="CD83" s="167"/>
      <c r="CE83" s="265"/>
      <c r="CF83" s="382"/>
      <c r="CG83" s="383"/>
      <c r="CH83" s="382"/>
      <c r="CI83" s="183"/>
      <c r="CJ83" s="382"/>
      <c r="CK83" s="184"/>
    </row>
    <row r="84" spans="2:89" ht="55.5" hidden="1" customHeight="1">
      <c r="B84" s="384" t="s">
        <v>138</v>
      </c>
      <c r="C84" s="360" t="s">
        <v>139</v>
      </c>
      <c r="D84" s="1222" t="s">
        <v>140</v>
      </c>
      <c r="E84" s="385">
        <f t="shared" ref="E84:E123" si="209">F84+G84</f>
        <v>115877.53292999999</v>
      </c>
      <c r="F84" s="386">
        <f>SUM(F85:F86)</f>
        <v>115877.53292999999</v>
      </c>
      <c r="G84" s="386">
        <f>SUM(G85:G86)</f>
        <v>0</v>
      </c>
      <c r="H84" s="385">
        <f t="shared" ref="H84:H123" si="210">I84+J84</f>
        <v>-115877.53292999999</v>
      </c>
      <c r="I84" s="386">
        <f>SUM(I85:I86)</f>
        <v>-115877.53292999999</v>
      </c>
      <c r="J84" s="386"/>
      <c r="K84" s="387">
        <f t="shared" ref="K84:K123" si="211">L84+M84</f>
        <v>0</v>
      </c>
      <c r="L84" s="252">
        <f>SUM(L85:L86)</f>
        <v>0</v>
      </c>
      <c r="M84" s="252">
        <f>SUM(M85:M86)</f>
        <v>0</v>
      </c>
      <c r="N84" s="387">
        <f t="shared" ref="N84:N123" si="212">O84+P84</f>
        <v>0</v>
      </c>
      <c r="O84" s="388">
        <f>SUM(O85:O86)</f>
        <v>0</v>
      </c>
      <c r="P84" s="388"/>
      <c r="Q84" s="385">
        <f t="shared" ref="Q84:Q123" si="213">R84+S84</f>
        <v>0</v>
      </c>
      <c r="R84" s="386">
        <f>SUM(R85:R86)</f>
        <v>0</v>
      </c>
      <c r="S84" s="386">
        <f>SUM(S85:S86)</f>
        <v>0</v>
      </c>
      <c r="T84" s="388">
        <f>SUM(T85:T86)</f>
        <v>12671.197039999999</v>
      </c>
      <c r="U84" s="253" t="e">
        <f t="shared" si="47"/>
        <v>#DIV/0!</v>
      </c>
      <c r="V84" s="388">
        <f>SUM(V85:V86)</f>
        <v>12671.197039999999</v>
      </c>
      <c r="W84" s="253" t="e">
        <f t="shared" si="48"/>
        <v>#DIV/0!</v>
      </c>
      <c r="X84" s="388">
        <f>SUM(X85:X86)</f>
        <v>0</v>
      </c>
      <c r="Y84" s="253">
        <v>0</v>
      </c>
      <c r="Z84" s="251">
        <f t="shared" ref="Z84:Z104" si="214">AB84+AD84</f>
        <v>-12671.197039999999</v>
      </c>
      <c r="AA84" s="253" t="e">
        <f t="shared" si="51"/>
        <v>#DIV/0!</v>
      </c>
      <c r="AB84" s="387">
        <f t="shared" si="101"/>
        <v>-12671.197039999999</v>
      </c>
      <c r="AC84" s="254" t="e">
        <f t="shared" si="52"/>
        <v>#DIV/0!</v>
      </c>
      <c r="AD84" s="388"/>
      <c r="AE84" s="387">
        <f t="shared" ref="AE84:AE104" si="215">AF84+AG84</f>
        <v>0</v>
      </c>
      <c r="AF84" s="388">
        <f>SUM(AF85:AF86)</f>
        <v>0</v>
      </c>
      <c r="AG84" s="388"/>
      <c r="AH84" s="387">
        <f t="shared" ref="AH84:AH104" si="216">AI84+AJ84</f>
        <v>65805.541419999994</v>
      </c>
      <c r="AI84" s="388">
        <f>SUM(AI85:AI86)</f>
        <v>65805.541419999994</v>
      </c>
      <c r="AJ84" s="388"/>
      <c r="AK84" s="388">
        <f>SUM(AK85:AK86)</f>
        <v>0</v>
      </c>
      <c r="AL84" s="255">
        <f t="shared" ref="AL84:AL104" si="217">AK84/AH84</f>
        <v>0</v>
      </c>
      <c r="AM84" s="256" t="e">
        <f>AK84/Q84</f>
        <v>#DIV/0!</v>
      </c>
      <c r="AN84" s="388">
        <f>SUM(AN85:AN86)</f>
        <v>0</v>
      </c>
      <c r="AO84" s="257">
        <f t="shared" ref="AO84:AO104" si="218">AN84/AI84</f>
        <v>0</v>
      </c>
      <c r="AP84" s="256" t="e">
        <f>AN84/L84</f>
        <v>#DIV/0!</v>
      </c>
      <c r="AQ84" s="388"/>
      <c r="AR84" s="258" t="e">
        <f t="shared" si="57"/>
        <v>#DIV/0!</v>
      </c>
      <c r="AS84" s="258">
        <v>0</v>
      </c>
      <c r="AT84" s="388">
        <f>AV84+AX84</f>
        <v>0</v>
      </c>
      <c r="AU84" s="259" t="e">
        <f t="shared" ref="AU84:AU126" si="219">AT84/K84</f>
        <v>#DIV/0!</v>
      </c>
      <c r="AV84" s="389">
        <f>SUM(AV85:AV86)</f>
        <v>0</v>
      </c>
      <c r="AW84" s="261" t="e">
        <f t="shared" ref="AW84:AW103" si="220">AV84/L84</f>
        <v>#DIV/0!</v>
      </c>
      <c r="AX84" s="389">
        <f>SUM(AX85:AX86)</f>
        <v>0</v>
      </c>
      <c r="AY84" s="261">
        <v>0</v>
      </c>
      <c r="AZ84" s="389">
        <f>SUM(AZ85:AZ86)</f>
        <v>0</v>
      </c>
      <c r="BA84" s="262" t="e">
        <f t="shared" ref="BA84:BA126" si="221">AZ84/K84</f>
        <v>#DIV/0!</v>
      </c>
      <c r="BB84" s="389">
        <f>SUM(BB85:BB86)</f>
        <v>0</v>
      </c>
      <c r="BC84" s="262" t="e">
        <f t="shared" ref="BC84:BC103" si="222">BB84/L84</f>
        <v>#DIV/0!</v>
      </c>
      <c r="BD84" s="389">
        <f>SUM(BD85:BD86)</f>
        <v>0</v>
      </c>
      <c r="BE84" s="262">
        <v>0</v>
      </c>
      <c r="BF84" s="382">
        <f t="shared" ref="BF84:BF102" si="223">BH84+BJ84</f>
        <v>0</v>
      </c>
      <c r="BG84" s="390"/>
      <c r="BH84" s="389">
        <f>SUM(BH85:BH86)</f>
        <v>0</v>
      </c>
      <c r="BI84" s="391"/>
      <c r="BJ84" s="389"/>
      <c r="BK84" s="391"/>
      <c r="BL84" s="392">
        <f t="shared" ref="BL84:BL104" si="224">BN84+BP84</f>
        <v>0</v>
      </c>
      <c r="BM84" s="390"/>
      <c r="BN84" s="389">
        <f>SUM(BN85:BN86)</f>
        <v>0</v>
      </c>
      <c r="BO84" s="391"/>
      <c r="BP84" s="389"/>
      <c r="BQ84" s="391"/>
      <c r="BR84" s="382">
        <f t="shared" ref="BR84:BR104" si="225">BT84+BV84</f>
        <v>0</v>
      </c>
      <c r="BS84" s="263" t="e">
        <f t="shared" si="99"/>
        <v>#DIV/0!</v>
      </c>
      <c r="BT84" s="389">
        <f>SUM(BT85:BT86)</f>
        <v>0</v>
      </c>
      <c r="BU84" s="389"/>
      <c r="BV84" s="389"/>
      <c r="BW84" s="389"/>
      <c r="BX84" s="1224" t="s">
        <v>141</v>
      </c>
      <c r="BY84" s="265">
        <v>0</v>
      </c>
      <c r="BZ84" s="176" t="e">
        <f t="shared" ref="BZ84:BZ104" si="226">CB84+CD84</f>
        <v>#REF!</v>
      </c>
      <c r="CA84" s="265" t="e">
        <f t="shared" si="199"/>
        <v>#REF!</v>
      </c>
      <c r="CB84" s="178" t="e">
        <f>#REF!-#REF!</f>
        <v>#REF!</v>
      </c>
      <c r="CC84" s="265" t="e">
        <f t="shared" si="200"/>
        <v>#REF!</v>
      </c>
      <c r="CD84" s="389"/>
      <c r="CE84" s="265" t="e">
        <f t="shared" si="68"/>
        <v>#DIV/0!</v>
      </c>
      <c r="CF84" s="382" t="s">
        <v>81</v>
      </c>
      <c r="CG84" s="382" t="s">
        <v>81</v>
      </c>
      <c r="CH84" s="382">
        <f t="shared" ref="CH84:CH104" si="227">CI84+CJ84</f>
        <v>0</v>
      </c>
      <c r="CI84" s="393"/>
      <c r="CJ84" s="382">
        <f t="shared" ref="CJ84:CJ104" si="228">CK84+CL84</f>
        <v>0</v>
      </c>
      <c r="CK84" s="394"/>
    </row>
    <row r="85" spans="2:89" s="3" customFormat="1" ht="21.75" hidden="1" customHeight="1">
      <c r="B85" s="395"/>
      <c r="C85" s="360" t="s">
        <v>90</v>
      </c>
      <c r="D85" s="1223"/>
      <c r="E85" s="385">
        <f t="shared" si="209"/>
        <v>21177.032709999999</v>
      </c>
      <c r="F85" s="386">
        <f>F87+F88</f>
        <v>21177.032709999999</v>
      </c>
      <c r="G85" s="386">
        <f>G87+G88</f>
        <v>0</v>
      </c>
      <c r="H85" s="385">
        <f t="shared" si="210"/>
        <v>-21177.032709999999</v>
      </c>
      <c r="I85" s="386">
        <f>I87+I88</f>
        <v>-21177.032709999999</v>
      </c>
      <c r="J85" s="386"/>
      <c r="K85" s="387">
        <f t="shared" si="211"/>
        <v>0</v>
      </c>
      <c r="L85" s="252">
        <f>L87+L88</f>
        <v>0</v>
      </c>
      <c r="M85" s="252">
        <f>M87+M88</f>
        <v>0</v>
      </c>
      <c r="N85" s="387">
        <f>N87+N88</f>
        <v>0</v>
      </c>
      <c r="O85" s="387">
        <f>O87+O88</f>
        <v>0</v>
      </c>
      <c r="P85" s="388"/>
      <c r="Q85" s="385">
        <f t="shared" si="213"/>
        <v>0</v>
      </c>
      <c r="R85" s="386">
        <f>R87+R88</f>
        <v>0</v>
      </c>
      <c r="S85" s="386">
        <f>S87+S88</f>
        <v>0</v>
      </c>
      <c r="T85" s="388">
        <f>T87+T88</f>
        <v>12671.197039999999</v>
      </c>
      <c r="U85" s="253" t="e">
        <f t="shared" si="47"/>
        <v>#DIV/0!</v>
      </c>
      <c r="V85" s="388">
        <f>V87+V88</f>
        <v>12671.197039999999</v>
      </c>
      <c r="W85" s="253" t="e">
        <f t="shared" si="48"/>
        <v>#DIV/0!</v>
      </c>
      <c r="X85" s="388">
        <f>X87+X88</f>
        <v>0</v>
      </c>
      <c r="Y85" s="253" t="e">
        <f t="shared" si="49"/>
        <v>#DIV/0!</v>
      </c>
      <c r="Z85" s="251">
        <f t="shared" si="214"/>
        <v>-12671.197039999999</v>
      </c>
      <c r="AA85" s="253" t="e">
        <f t="shared" si="51"/>
        <v>#DIV/0!</v>
      </c>
      <c r="AB85" s="387">
        <f t="shared" si="101"/>
        <v>-12671.197039999999</v>
      </c>
      <c r="AC85" s="253" t="e">
        <f t="shared" si="52"/>
        <v>#DIV/0!</v>
      </c>
      <c r="AD85" s="388"/>
      <c r="AE85" s="387">
        <f t="shared" si="215"/>
        <v>0</v>
      </c>
      <c r="AF85" s="388">
        <f>AF87+AF88</f>
        <v>0</v>
      </c>
      <c r="AG85" s="388"/>
      <c r="AH85" s="387">
        <f t="shared" si="216"/>
        <v>12528.18621</v>
      </c>
      <c r="AI85" s="388">
        <f>AI87+AI88</f>
        <v>12528.18621</v>
      </c>
      <c r="AJ85" s="388"/>
      <c r="AK85" s="388">
        <f>AK87+AK88</f>
        <v>0</v>
      </c>
      <c r="AL85" s="255">
        <f t="shared" si="217"/>
        <v>0</v>
      </c>
      <c r="AM85" s="256" t="e">
        <f>AK85/Q85</f>
        <v>#DIV/0!</v>
      </c>
      <c r="AN85" s="388">
        <f>AN87+AN88</f>
        <v>0</v>
      </c>
      <c r="AO85" s="257">
        <f t="shared" si="218"/>
        <v>0</v>
      </c>
      <c r="AP85" s="256" t="e">
        <f t="shared" ref="AP85" si="229">AN85/L85</f>
        <v>#DIV/0!</v>
      </c>
      <c r="AQ85" s="388"/>
      <c r="AR85" s="257" t="e">
        <f t="shared" si="57"/>
        <v>#DIV/0!</v>
      </c>
      <c r="AS85" s="257">
        <v>0</v>
      </c>
      <c r="AT85" s="388">
        <f>AT87+AT88</f>
        <v>0</v>
      </c>
      <c r="AU85" s="259" t="e">
        <f t="shared" si="219"/>
        <v>#DIV/0!</v>
      </c>
      <c r="AV85" s="389">
        <f>AV87+AV88</f>
        <v>0</v>
      </c>
      <c r="AW85" s="261" t="e">
        <f t="shared" si="220"/>
        <v>#DIV/0!</v>
      </c>
      <c r="AX85" s="389">
        <f>AX87+AX88</f>
        <v>0</v>
      </c>
      <c r="AY85" s="261">
        <v>0</v>
      </c>
      <c r="AZ85" s="389">
        <f>AZ87+AZ88</f>
        <v>0</v>
      </c>
      <c r="BA85" s="262" t="e">
        <f t="shared" si="221"/>
        <v>#DIV/0!</v>
      </c>
      <c r="BB85" s="382">
        <f>R85-AV85</f>
        <v>0</v>
      </c>
      <c r="BC85" s="262" t="e">
        <f t="shared" si="222"/>
        <v>#DIV/0!</v>
      </c>
      <c r="BD85" s="389">
        <f>BD87+BD88</f>
        <v>0</v>
      </c>
      <c r="BE85" s="262">
        <v>0</v>
      </c>
      <c r="BF85" s="382">
        <f t="shared" si="223"/>
        <v>0</v>
      </c>
      <c r="BG85" s="390"/>
      <c r="BH85" s="389">
        <f>BH87+BH88</f>
        <v>0</v>
      </c>
      <c r="BI85" s="391"/>
      <c r="BJ85" s="389"/>
      <c r="BK85" s="391"/>
      <c r="BL85" s="392">
        <f t="shared" si="224"/>
        <v>0</v>
      </c>
      <c r="BM85" s="390"/>
      <c r="BN85" s="389">
        <f>BN87+BN88</f>
        <v>0</v>
      </c>
      <c r="BO85" s="391"/>
      <c r="BP85" s="389"/>
      <c r="BQ85" s="391"/>
      <c r="BR85" s="382">
        <f t="shared" si="225"/>
        <v>0</v>
      </c>
      <c r="BS85" s="263" t="e">
        <f t="shared" si="99"/>
        <v>#DIV/0!</v>
      </c>
      <c r="BT85" s="389">
        <f>BT87+BT88</f>
        <v>0</v>
      </c>
      <c r="BU85" s="389"/>
      <c r="BV85" s="389"/>
      <c r="BW85" s="389"/>
      <c r="BX85" s="1225"/>
      <c r="BY85" s="271" t="e">
        <f>AD85/S85</f>
        <v>#DIV/0!</v>
      </c>
      <c r="BZ85" s="176" t="e">
        <f t="shared" si="226"/>
        <v>#REF!</v>
      </c>
      <c r="CA85" s="271" t="e">
        <f t="shared" si="199"/>
        <v>#REF!</v>
      </c>
      <c r="CB85" s="382" t="e">
        <f>#REF!-#REF!</f>
        <v>#REF!</v>
      </c>
      <c r="CC85" s="271" t="e">
        <f t="shared" si="200"/>
        <v>#REF!</v>
      </c>
      <c r="CD85" s="389"/>
      <c r="CE85" s="271" t="e">
        <f t="shared" si="68"/>
        <v>#DIV/0!</v>
      </c>
      <c r="CF85" s="382">
        <f t="shared" ref="CF85:CF102" si="230">CG85+CH85</f>
        <v>0</v>
      </c>
      <c r="CG85" s="396"/>
      <c r="CH85" s="382">
        <f t="shared" si="227"/>
        <v>0</v>
      </c>
      <c r="CI85" s="396"/>
      <c r="CJ85" s="382">
        <f t="shared" si="228"/>
        <v>0</v>
      </c>
      <c r="CK85" s="397"/>
    </row>
    <row r="86" spans="2:89" s="420" customFormat="1" ht="31.5" hidden="1" customHeight="1">
      <c r="B86" s="398"/>
      <c r="C86" s="360" t="s">
        <v>91</v>
      </c>
      <c r="D86" s="399"/>
      <c r="E86" s="399">
        <f t="shared" si="209"/>
        <v>94700.500219999987</v>
      </c>
      <c r="F86" s="400">
        <f>215700.50022-121000</f>
        <v>94700.500219999987</v>
      </c>
      <c r="G86" s="400"/>
      <c r="H86" s="399">
        <f t="shared" si="210"/>
        <v>-94700.500219999987</v>
      </c>
      <c r="I86" s="399">
        <f>L86-F86</f>
        <v>-94700.500219999987</v>
      </c>
      <c r="J86" s="399"/>
      <c r="K86" s="401">
        <f t="shared" si="211"/>
        <v>0</v>
      </c>
      <c r="L86" s="402">
        <v>0</v>
      </c>
      <c r="M86" s="402"/>
      <c r="N86" s="401">
        <f t="shared" si="212"/>
        <v>0</v>
      </c>
      <c r="O86" s="401"/>
      <c r="P86" s="401"/>
      <c r="Q86" s="403">
        <f t="shared" si="213"/>
        <v>0</v>
      </c>
      <c r="R86" s="404">
        <f>L86+O86</f>
        <v>0</v>
      </c>
      <c r="S86" s="404"/>
      <c r="T86" s="405">
        <f>V86</f>
        <v>0</v>
      </c>
      <c r="U86" s="406" t="e">
        <f t="shared" si="47"/>
        <v>#DIV/0!</v>
      </c>
      <c r="V86" s="405">
        <f>R86</f>
        <v>0</v>
      </c>
      <c r="W86" s="406" t="e">
        <f t="shared" si="48"/>
        <v>#DIV/0!</v>
      </c>
      <c r="X86" s="405"/>
      <c r="Y86" s="406" t="e">
        <f t="shared" si="49"/>
        <v>#DIV/0!</v>
      </c>
      <c r="Z86" s="407">
        <f t="shared" si="214"/>
        <v>0</v>
      </c>
      <c r="AA86" s="406" t="e">
        <f t="shared" si="51"/>
        <v>#DIV/0!</v>
      </c>
      <c r="AB86" s="401">
        <f t="shared" si="101"/>
        <v>0</v>
      </c>
      <c r="AC86" s="284" t="e">
        <f t="shared" si="52"/>
        <v>#DIV/0!</v>
      </c>
      <c r="AD86" s="408"/>
      <c r="AE86" s="409">
        <f t="shared" si="215"/>
        <v>0</v>
      </c>
      <c r="AF86" s="408"/>
      <c r="AG86" s="408"/>
      <c r="AH86" s="409">
        <f t="shared" si="216"/>
        <v>53277.355210000002</v>
      </c>
      <c r="AI86" s="408">
        <v>53277.355210000002</v>
      </c>
      <c r="AJ86" s="408"/>
      <c r="AK86" s="282">
        <f>AN86+AQ86</f>
        <v>0</v>
      </c>
      <c r="AL86" s="285">
        <f t="shared" si="217"/>
        <v>0</v>
      </c>
      <c r="AM86" s="410">
        <v>0</v>
      </c>
      <c r="AN86" s="408"/>
      <c r="AO86" s="284">
        <f t="shared" si="218"/>
        <v>0</v>
      </c>
      <c r="AP86" s="410">
        <v>0</v>
      </c>
      <c r="AQ86" s="408"/>
      <c r="AR86" s="284" t="e">
        <f t="shared" si="57"/>
        <v>#DIV/0!</v>
      </c>
      <c r="AS86" s="284">
        <v>0</v>
      </c>
      <c r="AT86" s="282">
        <f>AV86+AX86</f>
        <v>0</v>
      </c>
      <c r="AU86" s="259" t="e">
        <f t="shared" si="219"/>
        <v>#DIV/0!</v>
      </c>
      <c r="AV86" s="411">
        <v>0</v>
      </c>
      <c r="AW86" s="261" t="e">
        <f t="shared" si="220"/>
        <v>#DIV/0!</v>
      </c>
      <c r="AX86" s="412">
        <v>0</v>
      </c>
      <c r="AY86" s="261">
        <v>0</v>
      </c>
      <c r="AZ86" s="413">
        <f>BB86+BD86</f>
        <v>0</v>
      </c>
      <c r="BA86" s="262" t="e">
        <f t="shared" si="221"/>
        <v>#DIV/0!</v>
      </c>
      <c r="BB86" s="382">
        <f>R86-AV86</f>
        <v>0</v>
      </c>
      <c r="BC86" s="262" t="e">
        <f t="shared" si="222"/>
        <v>#DIV/0!</v>
      </c>
      <c r="BD86" s="413">
        <f>G86-AX86</f>
        <v>0</v>
      </c>
      <c r="BE86" s="414">
        <v>0</v>
      </c>
      <c r="BF86" s="153">
        <f t="shared" si="223"/>
        <v>0</v>
      </c>
      <c r="BG86" s="415"/>
      <c r="BH86" s="411">
        <v>0</v>
      </c>
      <c r="BI86" s="416"/>
      <c r="BJ86" s="411"/>
      <c r="BK86" s="416"/>
      <c r="BL86" s="417">
        <f t="shared" si="224"/>
        <v>0</v>
      </c>
      <c r="BM86" s="415"/>
      <c r="BN86" s="411"/>
      <c r="BO86" s="416"/>
      <c r="BP86" s="411"/>
      <c r="BQ86" s="416"/>
      <c r="BR86" s="153">
        <f t="shared" si="225"/>
        <v>0</v>
      </c>
      <c r="BS86" s="263" t="e">
        <f t="shared" si="99"/>
        <v>#DIV/0!</v>
      </c>
      <c r="BT86" s="411"/>
      <c r="BU86" s="411"/>
      <c r="BV86" s="411"/>
      <c r="BW86" s="411"/>
      <c r="BX86" s="1225"/>
      <c r="BY86" s="290" t="e">
        <f>AD86/S86</f>
        <v>#DIV/0!</v>
      </c>
      <c r="BZ86" s="181" t="e">
        <f t="shared" si="226"/>
        <v>#REF!</v>
      </c>
      <c r="CA86" s="290" t="e">
        <f t="shared" si="199"/>
        <v>#REF!</v>
      </c>
      <c r="CB86" s="413" t="e">
        <f>#REF!-#REF!</f>
        <v>#REF!</v>
      </c>
      <c r="CC86" s="290" t="e">
        <f t="shared" si="200"/>
        <v>#REF!</v>
      </c>
      <c r="CD86" s="411"/>
      <c r="CE86" s="290" t="e">
        <f t="shared" si="68"/>
        <v>#DIV/0!</v>
      </c>
      <c r="CF86" s="153">
        <f t="shared" si="230"/>
        <v>0</v>
      </c>
      <c r="CG86" s="418"/>
      <c r="CH86" s="153">
        <f t="shared" si="227"/>
        <v>0</v>
      </c>
      <c r="CI86" s="418"/>
      <c r="CJ86" s="153">
        <f t="shared" si="228"/>
        <v>0</v>
      </c>
      <c r="CK86" s="419"/>
    </row>
    <row r="87" spans="2:89" s="3" customFormat="1" ht="24.75" hidden="1" customHeight="1">
      <c r="B87" s="395"/>
      <c r="C87" s="360" t="s">
        <v>82</v>
      </c>
      <c r="D87" s="421"/>
      <c r="E87" s="385">
        <f t="shared" si="209"/>
        <v>0</v>
      </c>
      <c r="F87" s="386">
        <v>0</v>
      </c>
      <c r="G87" s="386"/>
      <c r="H87" s="385">
        <f t="shared" si="210"/>
        <v>0</v>
      </c>
      <c r="I87" s="385">
        <f>L87-F87</f>
        <v>0</v>
      </c>
      <c r="J87" s="385"/>
      <c r="K87" s="387">
        <f t="shared" si="211"/>
        <v>0</v>
      </c>
      <c r="L87" s="388">
        <v>0</v>
      </c>
      <c r="M87" s="252"/>
      <c r="N87" s="387">
        <f t="shared" si="212"/>
        <v>0</v>
      </c>
      <c r="O87" s="387">
        <f>R87-L87</f>
        <v>0</v>
      </c>
      <c r="P87" s="387"/>
      <c r="Q87" s="385">
        <f t="shared" si="213"/>
        <v>0</v>
      </c>
      <c r="R87" s="386">
        <v>0</v>
      </c>
      <c r="S87" s="386"/>
      <c r="T87" s="388">
        <f t="shared" ref="T87:T88" si="231">V87</f>
        <v>4588.7863799999996</v>
      </c>
      <c r="U87" s="253" t="e">
        <f t="shared" si="47"/>
        <v>#DIV/0!</v>
      </c>
      <c r="V87" s="388">
        <v>4588.7863799999996</v>
      </c>
      <c r="W87" s="253" t="e">
        <f t="shared" si="48"/>
        <v>#DIV/0!</v>
      </c>
      <c r="X87" s="388"/>
      <c r="Y87" s="253" t="e">
        <f t="shared" si="49"/>
        <v>#DIV/0!</v>
      </c>
      <c r="Z87" s="251">
        <f t="shared" si="214"/>
        <v>-4588.7863799999996</v>
      </c>
      <c r="AA87" s="253" t="e">
        <f t="shared" si="51"/>
        <v>#DIV/0!</v>
      </c>
      <c r="AB87" s="387">
        <f t="shared" si="101"/>
        <v>-4588.7863799999996</v>
      </c>
      <c r="AC87" s="253" t="e">
        <f t="shared" si="52"/>
        <v>#DIV/0!</v>
      </c>
      <c r="AD87" s="388"/>
      <c r="AE87" s="387">
        <f t="shared" si="215"/>
        <v>0</v>
      </c>
      <c r="AF87" s="388"/>
      <c r="AG87" s="388"/>
      <c r="AH87" s="387">
        <f t="shared" si="216"/>
        <v>4588.7863799999996</v>
      </c>
      <c r="AI87" s="388">
        <v>4588.7863799999996</v>
      </c>
      <c r="AJ87" s="388"/>
      <c r="AK87" s="251">
        <f>AN87+AQ87</f>
        <v>0</v>
      </c>
      <c r="AL87" s="255">
        <f t="shared" si="217"/>
        <v>0</v>
      </c>
      <c r="AM87" s="256" t="e">
        <f>AK87/Q87</f>
        <v>#DIV/0!</v>
      </c>
      <c r="AN87" s="388"/>
      <c r="AO87" s="257">
        <f t="shared" si="218"/>
        <v>0</v>
      </c>
      <c r="AP87" s="256" t="e">
        <f>AN87/R87</f>
        <v>#DIV/0!</v>
      </c>
      <c r="AQ87" s="388"/>
      <c r="AR87" s="257" t="e">
        <f t="shared" si="57"/>
        <v>#DIV/0!</v>
      </c>
      <c r="AS87" s="257">
        <v>0</v>
      </c>
      <c r="AT87" s="251">
        <f>AV87+AX87</f>
        <v>0</v>
      </c>
      <c r="AU87" s="259" t="e">
        <f t="shared" si="219"/>
        <v>#DIV/0!</v>
      </c>
      <c r="AV87" s="389"/>
      <c r="AW87" s="261" t="e">
        <f t="shared" si="220"/>
        <v>#DIV/0!</v>
      </c>
      <c r="AX87" s="389">
        <v>0</v>
      </c>
      <c r="AY87" s="261">
        <v>0</v>
      </c>
      <c r="AZ87" s="382">
        <f>BB87+BD87</f>
        <v>0</v>
      </c>
      <c r="BA87" s="262" t="e">
        <f t="shared" si="221"/>
        <v>#DIV/0!</v>
      </c>
      <c r="BB87" s="382">
        <f>R87-AV87</f>
        <v>0</v>
      </c>
      <c r="BC87" s="262" t="e">
        <f t="shared" si="222"/>
        <v>#DIV/0!</v>
      </c>
      <c r="BD87" s="382">
        <f>G87-AX87</f>
        <v>0</v>
      </c>
      <c r="BE87" s="262">
        <v>0</v>
      </c>
      <c r="BF87" s="382">
        <f t="shared" si="223"/>
        <v>0</v>
      </c>
      <c r="BG87" s="390"/>
      <c r="BH87" s="260">
        <v>0</v>
      </c>
      <c r="BI87" s="422"/>
      <c r="BJ87" s="389"/>
      <c r="BK87" s="391"/>
      <c r="BL87" s="392">
        <f t="shared" si="224"/>
        <v>0</v>
      </c>
      <c r="BM87" s="390"/>
      <c r="BN87" s="389"/>
      <c r="BO87" s="391"/>
      <c r="BP87" s="389"/>
      <c r="BQ87" s="391"/>
      <c r="BR87" s="382">
        <f t="shared" si="225"/>
        <v>0</v>
      </c>
      <c r="BS87" s="263" t="e">
        <f t="shared" si="99"/>
        <v>#DIV/0!</v>
      </c>
      <c r="BT87" s="389"/>
      <c r="BU87" s="389"/>
      <c r="BV87" s="389"/>
      <c r="BW87" s="389"/>
      <c r="BX87" s="1225"/>
      <c r="BY87" s="271" t="e">
        <f>AD87/S87</f>
        <v>#DIV/0!</v>
      </c>
      <c r="BZ87" s="176" t="e">
        <f t="shared" si="226"/>
        <v>#REF!</v>
      </c>
      <c r="CA87" s="271" t="e">
        <f t="shared" si="199"/>
        <v>#REF!</v>
      </c>
      <c r="CB87" s="382" t="e">
        <f>#REF!-#REF!</f>
        <v>#REF!</v>
      </c>
      <c r="CC87" s="271" t="e">
        <f t="shared" si="200"/>
        <v>#REF!</v>
      </c>
      <c r="CD87" s="389"/>
      <c r="CE87" s="271" t="e">
        <f t="shared" si="68"/>
        <v>#DIV/0!</v>
      </c>
      <c r="CF87" s="382">
        <f t="shared" si="230"/>
        <v>0</v>
      </c>
      <c r="CG87" s="396"/>
      <c r="CH87" s="382">
        <f t="shared" si="227"/>
        <v>0</v>
      </c>
      <c r="CI87" s="396"/>
      <c r="CJ87" s="382">
        <f t="shared" si="228"/>
        <v>0</v>
      </c>
      <c r="CK87" s="397"/>
    </row>
    <row r="88" spans="2:89" s="3" customFormat="1" ht="21.75" hidden="1" customHeight="1">
      <c r="B88" s="395"/>
      <c r="C88" s="360" t="s">
        <v>83</v>
      </c>
      <c r="D88" s="421"/>
      <c r="E88" s="385">
        <f t="shared" si="209"/>
        <v>21177.032709999999</v>
      </c>
      <c r="F88" s="386">
        <f>21147.93156+29.10115</f>
        <v>21177.032709999999</v>
      </c>
      <c r="G88" s="386"/>
      <c r="H88" s="385">
        <f t="shared" si="210"/>
        <v>-21177.032709999999</v>
      </c>
      <c r="I88" s="385">
        <f>L88-F88</f>
        <v>-21177.032709999999</v>
      </c>
      <c r="J88" s="385"/>
      <c r="K88" s="387">
        <f t="shared" si="211"/>
        <v>0</v>
      </c>
      <c r="L88" s="388">
        <v>0</v>
      </c>
      <c r="M88" s="252"/>
      <c r="N88" s="387">
        <f t="shared" si="212"/>
        <v>0</v>
      </c>
      <c r="O88" s="387">
        <f>R88-L88</f>
        <v>0</v>
      </c>
      <c r="P88" s="387"/>
      <c r="Q88" s="385">
        <f t="shared" si="213"/>
        <v>0</v>
      </c>
      <c r="R88" s="386">
        <v>0</v>
      </c>
      <c r="S88" s="386"/>
      <c r="T88" s="388">
        <f t="shared" si="231"/>
        <v>8082.4106599999996</v>
      </c>
      <c r="U88" s="253" t="e">
        <f t="shared" ref="U88:U172" si="232">T88/Q88</f>
        <v>#DIV/0!</v>
      </c>
      <c r="V88" s="388">
        <v>8082.4106599999996</v>
      </c>
      <c r="W88" s="253" t="e">
        <f t="shared" ref="W88:W172" si="233">V88/R88</f>
        <v>#DIV/0!</v>
      </c>
      <c r="X88" s="388"/>
      <c r="Y88" s="253" t="e">
        <f t="shared" ref="Y88:Y164" si="234">X88/S88</f>
        <v>#DIV/0!</v>
      </c>
      <c r="Z88" s="251">
        <f t="shared" si="214"/>
        <v>-8082.4106599999996</v>
      </c>
      <c r="AA88" s="253" t="e">
        <f t="shared" ref="AA88:AA172" si="235">Z88/Q88</f>
        <v>#DIV/0!</v>
      </c>
      <c r="AB88" s="387">
        <f t="shared" si="101"/>
        <v>-8082.4106599999996</v>
      </c>
      <c r="AC88" s="253" t="e">
        <f t="shared" ref="AC88:AC172" si="236">AB88/R88</f>
        <v>#DIV/0!</v>
      </c>
      <c r="AD88" s="388"/>
      <c r="AE88" s="387">
        <f t="shared" si="215"/>
        <v>0</v>
      </c>
      <c r="AF88" s="388"/>
      <c r="AG88" s="388"/>
      <c r="AH88" s="387">
        <f t="shared" si="216"/>
        <v>7939.3998300000003</v>
      </c>
      <c r="AI88" s="388">
        <v>7939.3998300000003</v>
      </c>
      <c r="AJ88" s="388"/>
      <c r="AK88" s="251">
        <f>AN88+AQ88</f>
        <v>0</v>
      </c>
      <c r="AL88" s="255">
        <f t="shared" si="217"/>
        <v>0</v>
      </c>
      <c r="AM88" s="256" t="e">
        <f t="shared" ref="AM88:AM103" si="237">AK88/Q88</f>
        <v>#DIV/0!</v>
      </c>
      <c r="AN88" s="388"/>
      <c r="AO88" s="257">
        <f t="shared" si="218"/>
        <v>0</v>
      </c>
      <c r="AP88" s="256" t="e">
        <f t="shared" ref="AP88:AP90" si="238">AN88/R88</f>
        <v>#DIV/0!</v>
      </c>
      <c r="AQ88" s="388"/>
      <c r="AR88" s="257" t="e">
        <f t="shared" si="57"/>
        <v>#DIV/0!</v>
      </c>
      <c r="AS88" s="257">
        <v>0</v>
      </c>
      <c r="AT88" s="251">
        <f>AV88+AX88</f>
        <v>0</v>
      </c>
      <c r="AU88" s="259" t="e">
        <f t="shared" si="219"/>
        <v>#DIV/0!</v>
      </c>
      <c r="AV88" s="389"/>
      <c r="AW88" s="261" t="e">
        <f t="shared" si="220"/>
        <v>#DIV/0!</v>
      </c>
      <c r="AX88" s="389">
        <v>0</v>
      </c>
      <c r="AY88" s="261">
        <v>0</v>
      </c>
      <c r="AZ88" s="382">
        <f>BB88+BD88</f>
        <v>0</v>
      </c>
      <c r="BA88" s="262" t="e">
        <f t="shared" si="221"/>
        <v>#DIV/0!</v>
      </c>
      <c r="BB88" s="382">
        <f>R88-AV88</f>
        <v>0</v>
      </c>
      <c r="BC88" s="262" t="e">
        <f t="shared" si="222"/>
        <v>#DIV/0!</v>
      </c>
      <c r="BD88" s="382">
        <f>G88-AX88</f>
        <v>0</v>
      </c>
      <c r="BE88" s="262">
        <v>0</v>
      </c>
      <c r="BF88" s="382">
        <f t="shared" si="223"/>
        <v>0</v>
      </c>
      <c r="BG88" s="390"/>
      <c r="BH88" s="260">
        <v>0</v>
      </c>
      <c r="BI88" s="422"/>
      <c r="BJ88" s="389"/>
      <c r="BK88" s="391"/>
      <c r="BL88" s="392">
        <f t="shared" si="224"/>
        <v>0</v>
      </c>
      <c r="BM88" s="390"/>
      <c r="BN88" s="389"/>
      <c r="BO88" s="391"/>
      <c r="BP88" s="389"/>
      <c r="BQ88" s="391"/>
      <c r="BR88" s="382">
        <f t="shared" si="225"/>
        <v>0</v>
      </c>
      <c r="BS88" s="263" t="e">
        <f t="shared" si="99"/>
        <v>#DIV/0!</v>
      </c>
      <c r="BT88" s="389"/>
      <c r="BU88" s="389"/>
      <c r="BV88" s="389"/>
      <c r="BW88" s="389"/>
      <c r="BX88" s="1226"/>
      <c r="BY88" s="271" t="e">
        <f>AD88/S88</f>
        <v>#DIV/0!</v>
      </c>
      <c r="BZ88" s="176" t="e">
        <f t="shared" si="226"/>
        <v>#REF!</v>
      </c>
      <c r="CA88" s="271" t="e">
        <f t="shared" si="199"/>
        <v>#REF!</v>
      </c>
      <c r="CB88" s="382" t="e">
        <f>#REF!-#REF!</f>
        <v>#REF!</v>
      </c>
      <c r="CC88" s="271" t="e">
        <f t="shared" si="200"/>
        <v>#REF!</v>
      </c>
      <c r="CD88" s="389"/>
      <c r="CE88" s="271" t="e">
        <f t="shared" ref="CE88:CE126" si="239">CD88/BY88</f>
        <v>#DIV/0!</v>
      </c>
      <c r="CF88" s="382">
        <f t="shared" si="230"/>
        <v>0</v>
      </c>
      <c r="CG88" s="396"/>
      <c r="CH88" s="382">
        <f t="shared" si="227"/>
        <v>0</v>
      </c>
      <c r="CI88" s="396"/>
      <c r="CJ88" s="382">
        <f t="shared" si="228"/>
        <v>0</v>
      </c>
      <c r="CK88" s="397"/>
    </row>
    <row r="89" spans="2:89" ht="62.25" customHeight="1">
      <c r="B89" s="395" t="s">
        <v>138</v>
      </c>
      <c r="C89" s="360" t="s">
        <v>142</v>
      </c>
      <c r="D89" s="1208" t="s">
        <v>143</v>
      </c>
      <c r="E89" s="385">
        <f t="shared" si="209"/>
        <v>435577.20005000004</v>
      </c>
      <c r="F89" s="386">
        <f>SUM(F90:F91)</f>
        <v>434991.98104000004</v>
      </c>
      <c r="G89" s="386">
        <f>SUM(G90:G91)</f>
        <v>585.21901000000003</v>
      </c>
      <c r="H89" s="385">
        <f t="shared" si="210"/>
        <v>-397611.13427000004</v>
      </c>
      <c r="I89" s="386">
        <f>SUM(I90:I91)</f>
        <v>-397025.91526000004</v>
      </c>
      <c r="J89" s="386">
        <f>SUM(J90:J91)</f>
        <v>-585.21901000000003</v>
      </c>
      <c r="K89" s="387">
        <f t="shared" si="211"/>
        <v>37966.065779999997</v>
      </c>
      <c r="L89" s="252">
        <f>SUM(L90:L91)</f>
        <v>37966.065779999997</v>
      </c>
      <c r="M89" s="252">
        <f>SUM(M90:M91)</f>
        <v>0</v>
      </c>
      <c r="N89" s="387">
        <f t="shared" si="212"/>
        <v>0</v>
      </c>
      <c r="O89" s="388">
        <f>SUM(O90:O91)</f>
        <v>0</v>
      </c>
      <c r="P89" s="388"/>
      <c r="Q89" s="385">
        <f t="shared" si="213"/>
        <v>37966.065779999997</v>
      </c>
      <c r="R89" s="386">
        <f>SUM(R90:R91)</f>
        <v>37966.065779999997</v>
      </c>
      <c r="S89" s="386">
        <f>SUM(S90:S91)</f>
        <v>0</v>
      </c>
      <c r="T89" s="388">
        <f>SUM(T90:T91)</f>
        <v>242695.22224</v>
      </c>
      <c r="U89" s="253">
        <f t="shared" si="232"/>
        <v>6.3924248471341087</v>
      </c>
      <c r="V89" s="388">
        <f>SUM(V90:V91)</f>
        <v>242695.22224</v>
      </c>
      <c r="W89" s="253">
        <f t="shared" si="233"/>
        <v>6.3924248471341087</v>
      </c>
      <c r="X89" s="388">
        <f>SUM(X90:X91)</f>
        <v>0</v>
      </c>
      <c r="Y89" s="253">
        <v>0</v>
      </c>
      <c r="Z89" s="387">
        <f t="shared" si="214"/>
        <v>-204729.15646</v>
      </c>
      <c r="AA89" s="253">
        <f t="shared" si="235"/>
        <v>-5.3924248471341087</v>
      </c>
      <c r="AB89" s="387">
        <f t="shared" si="101"/>
        <v>-204729.15646</v>
      </c>
      <c r="AC89" s="254">
        <f t="shared" si="236"/>
        <v>-5.3924248471341087</v>
      </c>
      <c r="AD89" s="388"/>
      <c r="AE89" s="387">
        <f t="shared" si="215"/>
        <v>0</v>
      </c>
      <c r="AF89" s="388">
        <f>SUM(AF90:AF91)</f>
        <v>0</v>
      </c>
      <c r="AG89" s="388"/>
      <c r="AH89" s="387">
        <f t="shared" si="216"/>
        <v>36736.983970000001</v>
      </c>
      <c r="AI89" s="388">
        <f>SUM(AI90:AI91)</f>
        <v>36736.983970000001</v>
      </c>
      <c r="AJ89" s="388"/>
      <c r="AK89" s="388">
        <f>SUM(AK90:AK91)</f>
        <v>3542.81963</v>
      </c>
      <c r="AL89" s="255">
        <f t="shared" si="217"/>
        <v>9.6437411217347682E-2</v>
      </c>
      <c r="AM89" s="256">
        <f t="shared" si="237"/>
        <v>9.3315426742644189E-2</v>
      </c>
      <c r="AN89" s="388">
        <f>SUM(AN90:AN91)</f>
        <v>3542.81963</v>
      </c>
      <c r="AO89" s="257">
        <f t="shared" si="218"/>
        <v>9.6437411217347682E-2</v>
      </c>
      <c r="AP89" s="256">
        <f t="shared" si="238"/>
        <v>9.3315426742644189E-2</v>
      </c>
      <c r="AQ89" s="388">
        <v>0</v>
      </c>
      <c r="AR89" s="258" t="e">
        <f t="shared" ref="AR89:AR104" si="240">SUM(AQ89/AJ89)</f>
        <v>#DIV/0!</v>
      </c>
      <c r="AS89" s="257">
        <v>0</v>
      </c>
      <c r="AT89" s="388">
        <f>AV89</f>
        <v>33436.527900000001</v>
      </c>
      <c r="AU89" s="259">
        <f t="shared" si="219"/>
        <v>0.88069509476575536</v>
      </c>
      <c r="AV89" s="389">
        <f>SUM(AV90:AV91)</f>
        <v>33436.527900000001</v>
      </c>
      <c r="AW89" s="261">
        <f t="shared" si="220"/>
        <v>0.88069509476575536</v>
      </c>
      <c r="AX89" s="389">
        <f>SUM(AX90:AX91)</f>
        <v>0</v>
      </c>
      <c r="AY89" s="261">
        <v>0</v>
      </c>
      <c r="AZ89" s="389">
        <f>SUM(AZ90:AZ91)</f>
        <v>4529.5378799999999</v>
      </c>
      <c r="BA89" s="262">
        <f t="shared" si="221"/>
        <v>0.1193049052342447</v>
      </c>
      <c r="BB89" s="389">
        <f>SUM(BB90:BB91)</f>
        <v>4529.5378799999962</v>
      </c>
      <c r="BC89" s="262">
        <f t="shared" si="222"/>
        <v>0.1193049052342446</v>
      </c>
      <c r="BD89" s="389">
        <f>SUM(BD90:BD91)</f>
        <v>0</v>
      </c>
      <c r="BE89" s="262">
        <v>0</v>
      </c>
      <c r="BF89" s="382">
        <f t="shared" si="223"/>
        <v>33436.527900000001</v>
      </c>
      <c r="BG89" s="262">
        <f t="shared" ref="BG89:BG103" si="241">BF89/AT89</f>
        <v>1</v>
      </c>
      <c r="BH89" s="389">
        <f>SUM(BH90:BH91)</f>
        <v>33436.527900000001</v>
      </c>
      <c r="BI89" s="262">
        <f>BH89/AV89</f>
        <v>1</v>
      </c>
      <c r="BJ89" s="389">
        <v>0</v>
      </c>
      <c r="BK89" s="391">
        <v>0</v>
      </c>
      <c r="BL89" s="389">
        <f t="shared" si="224"/>
        <v>0</v>
      </c>
      <c r="BM89" s="262">
        <f>BL89/AT89</f>
        <v>0</v>
      </c>
      <c r="BN89" s="389">
        <f>SUM(BN90:BN91)</f>
        <v>0</v>
      </c>
      <c r="BO89" s="262">
        <f>BN89/AV89</f>
        <v>0</v>
      </c>
      <c r="BP89" s="389">
        <v>0</v>
      </c>
      <c r="BQ89" s="262">
        <v>0</v>
      </c>
      <c r="BR89" s="382">
        <f t="shared" si="225"/>
        <v>4529.5378799999962</v>
      </c>
      <c r="BS89" s="263">
        <f>BR89/K89</f>
        <v>0.1193049052342446</v>
      </c>
      <c r="BT89" s="389">
        <f>SUM(BT90:BT91)</f>
        <v>4529.5378799999962</v>
      </c>
      <c r="BU89" s="263">
        <f t="shared" ref="BU89:BU103" si="242">BT89/L89</f>
        <v>0.1193049052342446</v>
      </c>
      <c r="BV89" s="389">
        <v>0</v>
      </c>
      <c r="BW89" s="263">
        <v>0</v>
      </c>
      <c r="BX89" s="423" t="s">
        <v>88</v>
      </c>
      <c r="BY89" s="265">
        <v>0</v>
      </c>
      <c r="BZ89" s="382" t="e">
        <f t="shared" si="226"/>
        <v>#REF!</v>
      </c>
      <c r="CA89" s="265" t="e">
        <f t="shared" si="199"/>
        <v>#REF!</v>
      </c>
      <c r="CB89" s="178" t="e">
        <f>#REF!-#REF!</f>
        <v>#REF!</v>
      </c>
      <c r="CC89" s="265" t="e">
        <f t="shared" si="200"/>
        <v>#REF!</v>
      </c>
      <c r="CD89" s="389"/>
      <c r="CE89" s="265" t="e">
        <f t="shared" si="239"/>
        <v>#DIV/0!</v>
      </c>
      <c r="CF89" s="382" t="s">
        <v>144</v>
      </c>
      <c r="CG89" s="382" t="s">
        <v>81</v>
      </c>
      <c r="CH89" s="382">
        <f t="shared" si="227"/>
        <v>0</v>
      </c>
      <c r="CI89" s="393"/>
      <c r="CJ89" s="382">
        <f t="shared" si="228"/>
        <v>0</v>
      </c>
      <c r="CK89" s="394"/>
    </row>
    <row r="90" spans="2:89" s="424" customFormat="1" ht="39" hidden="1" customHeight="1">
      <c r="B90" s="395"/>
      <c r="C90" s="360" t="s">
        <v>90</v>
      </c>
      <c r="D90" s="1208"/>
      <c r="E90" s="385">
        <f t="shared" si="209"/>
        <v>132863.57484000002</v>
      </c>
      <c r="F90" s="386">
        <f>F92+F93</f>
        <v>132278.35583000001</v>
      </c>
      <c r="G90" s="386">
        <f>G92+G93</f>
        <v>585.21901000000003</v>
      </c>
      <c r="H90" s="385">
        <f t="shared" si="210"/>
        <v>-94897.509060000011</v>
      </c>
      <c r="I90" s="386">
        <f>I92+I93</f>
        <v>-94312.290050000011</v>
      </c>
      <c r="J90" s="386">
        <f>J92+J93</f>
        <v>-585.21901000000003</v>
      </c>
      <c r="K90" s="387">
        <f t="shared" si="211"/>
        <v>37966.065779999997</v>
      </c>
      <c r="L90" s="252">
        <f>L92+L93</f>
        <v>37966.065779999997</v>
      </c>
      <c r="M90" s="252">
        <f>M92+M93</f>
        <v>0</v>
      </c>
      <c r="N90" s="387">
        <f t="shared" si="212"/>
        <v>0</v>
      </c>
      <c r="O90" s="388">
        <f>O92+O93</f>
        <v>0</v>
      </c>
      <c r="P90" s="388"/>
      <c r="Q90" s="385">
        <f t="shared" si="213"/>
        <v>37966.065779999997</v>
      </c>
      <c r="R90" s="386">
        <f>R92+R93</f>
        <v>37966.065779999997</v>
      </c>
      <c r="S90" s="386">
        <f>S92+S93</f>
        <v>0</v>
      </c>
      <c r="T90" s="388">
        <f>T92+T93</f>
        <v>242695.22224</v>
      </c>
      <c r="U90" s="253">
        <f t="shared" si="232"/>
        <v>6.3924248471341087</v>
      </c>
      <c r="V90" s="388">
        <f>V92+V93</f>
        <v>242695.22224</v>
      </c>
      <c r="W90" s="253">
        <f t="shared" si="233"/>
        <v>6.3924248471341087</v>
      </c>
      <c r="X90" s="388">
        <f>X92+X93</f>
        <v>0</v>
      </c>
      <c r="Y90" s="253" t="e">
        <f t="shared" si="234"/>
        <v>#DIV/0!</v>
      </c>
      <c r="Z90" s="251">
        <f t="shared" si="214"/>
        <v>-204729.15646</v>
      </c>
      <c r="AA90" s="253">
        <f t="shared" si="235"/>
        <v>-5.3924248471341087</v>
      </c>
      <c r="AB90" s="387">
        <f t="shared" si="101"/>
        <v>-204729.15646</v>
      </c>
      <c r="AC90" s="253">
        <f t="shared" si="236"/>
        <v>-5.3924248471341087</v>
      </c>
      <c r="AD90" s="388"/>
      <c r="AE90" s="387">
        <f t="shared" si="215"/>
        <v>0</v>
      </c>
      <c r="AF90" s="388">
        <f>AF92+AF93</f>
        <v>0</v>
      </c>
      <c r="AG90" s="388"/>
      <c r="AH90" s="387">
        <f t="shared" si="216"/>
        <v>31390.258399999999</v>
      </c>
      <c r="AI90" s="388">
        <f>AI92+AI93</f>
        <v>31390.258399999999</v>
      </c>
      <c r="AJ90" s="388"/>
      <c r="AK90" s="388">
        <f>AK92+AK93</f>
        <v>3542.81963</v>
      </c>
      <c r="AL90" s="255">
        <f t="shared" si="217"/>
        <v>0.11286366569062713</v>
      </c>
      <c r="AM90" s="256">
        <f t="shared" si="237"/>
        <v>9.3315426742644189E-2</v>
      </c>
      <c r="AN90" s="388">
        <f>AN92+AN93</f>
        <v>3542.81963</v>
      </c>
      <c r="AO90" s="257">
        <f t="shared" si="218"/>
        <v>0.11286366569062713</v>
      </c>
      <c r="AP90" s="256">
        <f t="shared" si="238"/>
        <v>9.3315426742644189E-2</v>
      </c>
      <c r="AQ90" s="388">
        <v>0</v>
      </c>
      <c r="AR90" s="257" t="e">
        <f t="shared" si="240"/>
        <v>#DIV/0!</v>
      </c>
      <c r="AS90" s="257">
        <v>0</v>
      </c>
      <c r="AT90" s="388">
        <f>AT92+AT93</f>
        <v>33436.527900000001</v>
      </c>
      <c r="AU90" s="259">
        <f t="shared" si="219"/>
        <v>0.88069509476575536</v>
      </c>
      <c r="AV90" s="389">
        <f>AV92+AV93</f>
        <v>33436.527900000001</v>
      </c>
      <c r="AW90" s="261">
        <f t="shared" si="220"/>
        <v>0.88069509476575536</v>
      </c>
      <c r="AX90" s="389">
        <f>AX92+AX93</f>
        <v>0</v>
      </c>
      <c r="AY90" s="261">
        <v>0</v>
      </c>
      <c r="AZ90" s="389">
        <f>AZ92+AZ93</f>
        <v>4529.5378799999999</v>
      </c>
      <c r="BA90" s="262">
        <f t="shared" si="221"/>
        <v>0.1193049052342447</v>
      </c>
      <c r="BB90" s="382">
        <f>R90-AV90</f>
        <v>4529.5378799999962</v>
      </c>
      <c r="BC90" s="262">
        <f t="shared" si="222"/>
        <v>0.1193049052342446</v>
      </c>
      <c r="BD90" s="389">
        <f>BD92+BD93</f>
        <v>0</v>
      </c>
      <c r="BE90" s="262">
        <v>0</v>
      </c>
      <c r="BF90" s="382">
        <f t="shared" si="223"/>
        <v>33436.527900000001</v>
      </c>
      <c r="BG90" s="262">
        <f t="shared" si="241"/>
        <v>1</v>
      </c>
      <c r="BH90" s="389">
        <f>BH92+BH93</f>
        <v>33436.527900000001</v>
      </c>
      <c r="BI90" s="262">
        <f t="shared" ref="BI90:BI103" si="243">BH90/AV90</f>
        <v>1</v>
      </c>
      <c r="BJ90" s="389">
        <v>0</v>
      </c>
      <c r="BK90" s="391">
        <v>0</v>
      </c>
      <c r="BL90" s="389">
        <f t="shared" si="224"/>
        <v>0</v>
      </c>
      <c r="BM90" s="262">
        <f t="shared" ref="BM90:BM104" si="244">BL90/AT90</f>
        <v>0</v>
      </c>
      <c r="BN90" s="389">
        <f>BN92+BN93</f>
        <v>0</v>
      </c>
      <c r="BO90" s="262">
        <f t="shared" ref="BO90:BO103" si="245">BN90/AV90</f>
        <v>0</v>
      </c>
      <c r="BP90" s="389">
        <v>0</v>
      </c>
      <c r="BQ90" s="262">
        <v>0</v>
      </c>
      <c r="BR90" s="382">
        <f t="shared" si="225"/>
        <v>4529.5378799999962</v>
      </c>
      <c r="BS90" s="263">
        <f t="shared" ref="BS90:BS126" si="246">BR90/K90</f>
        <v>0.1193049052342446</v>
      </c>
      <c r="BT90" s="176">
        <f t="shared" ref="BT90:BT103" si="247">L90-BH90</f>
        <v>4529.5378799999962</v>
      </c>
      <c r="BU90" s="263">
        <f t="shared" si="242"/>
        <v>0.1193049052342446</v>
      </c>
      <c r="BV90" s="389">
        <v>0</v>
      </c>
      <c r="BW90" s="263">
        <v>0</v>
      </c>
      <c r="BX90" s="423"/>
      <c r="BY90" s="271" t="e">
        <f t="shared" ref="BY90:BY96" si="248">AD90/S90</f>
        <v>#DIV/0!</v>
      </c>
      <c r="BZ90" s="176" t="e">
        <f t="shared" si="226"/>
        <v>#REF!</v>
      </c>
      <c r="CA90" s="271" t="e">
        <f t="shared" si="199"/>
        <v>#REF!</v>
      </c>
      <c r="CB90" s="178" t="e">
        <f>#REF!-#REF!</f>
        <v>#REF!</v>
      </c>
      <c r="CC90" s="271" t="e">
        <f t="shared" si="200"/>
        <v>#REF!</v>
      </c>
      <c r="CD90" s="389"/>
      <c r="CE90" s="271" t="e">
        <f t="shared" si="239"/>
        <v>#DIV/0!</v>
      </c>
      <c r="CF90" s="382">
        <f t="shared" si="230"/>
        <v>0</v>
      </c>
      <c r="CG90" s="393"/>
      <c r="CH90" s="382">
        <f t="shared" si="227"/>
        <v>0</v>
      </c>
      <c r="CI90" s="393"/>
      <c r="CJ90" s="382">
        <f t="shared" si="228"/>
        <v>0</v>
      </c>
      <c r="CK90" s="394"/>
    </row>
    <row r="91" spans="2:89" s="420" customFormat="1" ht="31.5" hidden="1" customHeight="1">
      <c r="B91" s="425"/>
      <c r="C91" s="426" t="s">
        <v>91</v>
      </c>
      <c r="D91" s="399"/>
      <c r="E91" s="399">
        <f t="shared" si="209"/>
        <v>302713.62521000003</v>
      </c>
      <c r="F91" s="400">
        <v>302713.62521000003</v>
      </c>
      <c r="G91" s="400"/>
      <c r="H91" s="399">
        <f t="shared" si="210"/>
        <v>-302713.62521000003</v>
      </c>
      <c r="I91" s="399">
        <f>L91-F91</f>
        <v>-302713.62521000003</v>
      </c>
      <c r="J91" s="399"/>
      <c r="K91" s="409">
        <f t="shared" si="211"/>
        <v>0</v>
      </c>
      <c r="L91" s="283">
        <v>0</v>
      </c>
      <c r="M91" s="283">
        <v>0</v>
      </c>
      <c r="N91" s="409">
        <f t="shared" si="212"/>
        <v>0</v>
      </c>
      <c r="O91" s="409"/>
      <c r="P91" s="409"/>
      <c r="Q91" s="399">
        <f t="shared" si="213"/>
        <v>0</v>
      </c>
      <c r="R91" s="400">
        <f t="shared" ref="R91" si="249">L91+O91</f>
        <v>0</v>
      </c>
      <c r="S91" s="400"/>
      <c r="T91" s="408"/>
      <c r="U91" s="284" t="e">
        <f t="shared" si="232"/>
        <v>#DIV/0!</v>
      </c>
      <c r="V91" s="408"/>
      <c r="W91" s="284" t="e">
        <f t="shared" si="233"/>
        <v>#DIV/0!</v>
      </c>
      <c r="X91" s="408"/>
      <c r="Y91" s="284" t="e">
        <f t="shared" si="234"/>
        <v>#DIV/0!</v>
      </c>
      <c r="Z91" s="282">
        <f t="shared" si="214"/>
        <v>0</v>
      </c>
      <c r="AA91" s="284" t="e">
        <f t="shared" si="235"/>
        <v>#DIV/0!</v>
      </c>
      <c r="AB91" s="409">
        <f t="shared" si="101"/>
        <v>0</v>
      </c>
      <c r="AC91" s="284" t="e">
        <f t="shared" si="236"/>
        <v>#DIV/0!</v>
      </c>
      <c r="AD91" s="408"/>
      <c r="AE91" s="409">
        <f t="shared" si="215"/>
        <v>0</v>
      </c>
      <c r="AF91" s="408"/>
      <c r="AG91" s="408"/>
      <c r="AH91" s="409">
        <f t="shared" si="216"/>
        <v>5346.7255699999996</v>
      </c>
      <c r="AI91" s="408">
        <v>5346.7255699999996</v>
      </c>
      <c r="AJ91" s="408"/>
      <c r="AK91" s="282">
        <f t="shared" ref="AK91:AK103" si="250">AN91+AQ91</f>
        <v>0</v>
      </c>
      <c r="AL91" s="285">
        <f t="shared" si="217"/>
        <v>0</v>
      </c>
      <c r="AM91" s="410">
        <v>0</v>
      </c>
      <c r="AN91" s="408">
        <v>0</v>
      </c>
      <c r="AO91" s="284">
        <f t="shared" si="218"/>
        <v>0</v>
      </c>
      <c r="AP91" s="410">
        <v>0</v>
      </c>
      <c r="AQ91" s="408">
        <v>0</v>
      </c>
      <c r="AR91" s="284" t="e">
        <f t="shared" si="240"/>
        <v>#DIV/0!</v>
      </c>
      <c r="AS91" s="284">
        <v>0</v>
      </c>
      <c r="AT91" s="282">
        <f t="shared" ref="AT91:AT103" si="251">AV91+AX91</f>
        <v>0</v>
      </c>
      <c r="AU91" s="259" t="e">
        <f t="shared" si="219"/>
        <v>#DIV/0!</v>
      </c>
      <c r="AV91" s="411">
        <v>0</v>
      </c>
      <c r="AW91" s="261" t="e">
        <f t="shared" si="220"/>
        <v>#DIV/0!</v>
      </c>
      <c r="AX91" s="411">
        <v>0</v>
      </c>
      <c r="AY91" s="289">
        <v>0</v>
      </c>
      <c r="AZ91" s="153">
        <f t="shared" ref="AZ91:AZ104" si="252">BB91+BD91</f>
        <v>0</v>
      </c>
      <c r="BA91" s="262" t="e">
        <f t="shared" si="221"/>
        <v>#DIV/0!</v>
      </c>
      <c r="BB91" s="382">
        <f>R91-AV91</f>
        <v>0</v>
      </c>
      <c r="BC91" s="262" t="e">
        <f t="shared" si="222"/>
        <v>#DIV/0!</v>
      </c>
      <c r="BD91" s="153">
        <f>G91-AX91</f>
        <v>0</v>
      </c>
      <c r="BE91" s="165">
        <v>0</v>
      </c>
      <c r="BF91" s="153">
        <f t="shared" si="223"/>
        <v>0</v>
      </c>
      <c r="BG91" s="262" t="e">
        <f t="shared" si="241"/>
        <v>#DIV/0!</v>
      </c>
      <c r="BH91" s="411">
        <v>0</v>
      </c>
      <c r="BI91" s="262">
        <v>0</v>
      </c>
      <c r="BJ91" s="288">
        <v>0</v>
      </c>
      <c r="BK91" s="391">
        <v>0</v>
      </c>
      <c r="BL91" s="389">
        <f t="shared" si="224"/>
        <v>0</v>
      </c>
      <c r="BM91" s="262">
        <v>0</v>
      </c>
      <c r="BN91" s="389">
        <v>0</v>
      </c>
      <c r="BO91" s="262">
        <v>0</v>
      </c>
      <c r="BP91" s="411">
        <v>0</v>
      </c>
      <c r="BQ91" s="262">
        <v>0</v>
      </c>
      <c r="BR91" s="153">
        <f t="shared" si="225"/>
        <v>0</v>
      </c>
      <c r="BS91" s="263">
        <v>0</v>
      </c>
      <c r="BT91" s="176">
        <f t="shared" si="247"/>
        <v>0</v>
      </c>
      <c r="BU91" s="263">
        <v>0</v>
      </c>
      <c r="BV91" s="411">
        <v>0</v>
      </c>
      <c r="BW91" s="263">
        <v>0</v>
      </c>
      <c r="BX91" s="423"/>
      <c r="BY91" s="290" t="e">
        <f t="shared" si="248"/>
        <v>#DIV/0!</v>
      </c>
      <c r="BZ91" s="152" t="e">
        <f t="shared" si="226"/>
        <v>#REF!</v>
      </c>
      <c r="CA91" s="290" t="e">
        <f t="shared" si="199"/>
        <v>#REF!</v>
      </c>
      <c r="CB91" s="153" t="e">
        <f>#REF!-#REF!</f>
        <v>#REF!</v>
      </c>
      <c r="CC91" s="290" t="e">
        <f t="shared" si="200"/>
        <v>#REF!</v>
      </c>
      <c r="CD91" s="411"/>
      <c r="CE91" s="290" t="e">
        <f t="shared" si="239"/>
        <v>#DIV/0!</v>
      </c>
      <c r="CF91" s="153">
        <f t="shared" si="230"/>
        <v>0</v>
      </c>
      <c r="CG91" s="418"/>
      <c r="CH91" s="153">
        <f t="shared" si="227"/>
        <v>0</v>
      </c>
      <c r="CI91" s="418"/>
      <c r="CJ91" s="153">
        <f t="shared" si="228"/>
        <v>0</v>
      </c>
      <c r="CK91" s="419"/>
    </row>
    <row r="92" spans="2:89" s="3" customFormat="1" ht="18.75" hidden="1" customHeight="1">
      <c r="B92" s="395"/>
      <c r="C92" s="427" t="s">
        <v>82</v>
      </c>
      <c r="D92" s="421"/>
      <c r="E92" s="385">
        <f t="shared" si="209"/>
        <v>78070.804409999997</v>
      </c>
      <c r="F92" s="386">
        <v>78070.804409999997</v>
      </c>
      <c r="G92" s="386"/>
      <c r="H92" s="385">
        <f t="shared" si="210"/>
        <v>-44770.804409999997</v>
      </c>
      <c r="I92" s="385">
        <f>L92-F92</f>
        <v>-44770.804409999997</v>
      </c>
      <c r="J92" s="385"/>
      <c r="K92" s="387">
        <f t="shared" si="211"/>
        <v>33300</v>
      </c>
      <c r="L92" s="252">
        <v>33300</v>
      </c>
      <c r="M92" s="252">
        <v>0</v>
      </c>
      <c r="N92" s="387">
        <f t="shared" si="212"/>
        <v>0</v>
      </c>
      <c r="O92" s="387">
        <f>R92-L92</f>
        <v>0</v>
      </c>
      <c r="P92" s="387"/>
      <c r="Q92" s="385">
        <f t="shared" si="213"/>
        <v>33300</v>
      </c>
      <c r="R92" s="386">
        <v>33300</v>
      </c>
      <c r="S92" s="386"/>
      <c r="T92" s="388">
        <f>V92+X92</f>
        <v>225500.94203000001</v>
      </c>
      <c r="U92" s="253">
        <f t="shared" si="232"/>
        <v>6.7718000609609614</v>
      </c>
      <c r="V92" s="388">
        <v>225500.94203000001</v>
      </c>
      <c r="W92" s="253">
        <f t="shared" si="233"/>
        <v>6.7718000609609614</v>
      </c>
      <c r="X92" s="388"/>
      <c r="Y92" s="253" t="e">
        <f t="shared" si="234"/>
        <v>#DIV/0!</v>
      </c>
      <c r="Z92" s="251">
        <f t="shared" si="214"/>
        <v>-192200.94203000001</v>
      </c>
      <c r="AA92" s="253">
        <f t="shared" si="235"/>
        <v>-5.7718000609609614</v>
      </c>
      <c r="AB92" s="387">
        <f t="shared" si="101"/>
        <v>-192200.94203000001</v>
      </c>
      <c r="AC92" s="253">
        <f t="shared" si="236"/>
        <v>-5.7718000609609614</v>
      </c>
      <c r="AD92" s="388"/>
      <c r="AE92" s="387">
        <f t="shared" si="215"/>
        <v>0</v>
      </c>
      <c r="AF92" s="388"/>
      <c r="AG92" s="388"/>
      <c r="AH92" s="387">
        <f t="shared" si="216"/>
        <v>30298.11161</v>
      </c>
      <c r="AI92" s="388">
        <v>30298.11161</v>
      </c>
      <c r="AJ92" s="388"/>
      <c r="AK92" s="251">
        <f t="shared" si="250"/>
        <v>2156.0792099999999</v>
      </c>
      <c r="AL92" s="255">
        <f t="shared" si="217"/>
        <v>7.1162164749844617E-2</v>
      </c>
      <c r="AM92" s="256">
        <f t="shared" si="237"/>
        <v>6.4747123423423425E-2</v>
      </c>
      <c r="AN92" s="388">
        <v>2156.0792099999999</v>
      </c>
      <c r="AO92" s="257">
        <f t="shared" si="218"/>
        <v>7.1162164749844617E-2</v>
      </c>
      <c r="AP92" s="256">
        <f>AN92/R92</f>
        <v>6.4747123423423425E-2</v>
      </c>
      <c r="AQ92" s="388">
        <v>0</v>
      </c>
      <c r="AR92" s="257" t="e">
        <f t="shared" si="240"/>
        <v>#DIV/0!</v>
      </c>
      <c r="AS92" s="257">
        <v>0</v>
      </c>
      <c r="AT92" s="251">
        <f t="shared" si="251"/>
        <v>29679.56208</v>
      </c>
      <c r="AU92" s="259">
        <f t="shared" si="219"/>
        <v>0.89127814054054055</v>
      </c>
      <c r="AV92" s="389">
        <f>BH92</f>
        <v>29679.56208</v>
      </c>
      <c r="AW92" s="261">
        <f t="shared" si="220"/>
        <v>0.89127814054054055</v>
      </c>
      <c r="AX92" s="389">
        <v>0</v>
      </c>
      <c r="AY92" s="261">
        <v>0</v>
      </c>
      <c r="AZ92" s="382">
        <f t="shared" si="252"/>
        <v>3620.4379200000003</v>
      </c>
      <c r="BA92" s="262">
        <f t="shared" si="221"/>
        <v>0.10872185945945947</v>
      </c>
      <c r="BB92" s="176">
        <f>L92-AV92</f>
        <v>3620.4379200000003</v>
      </c>
      <c r="BC92" s="262">
        <f t="shared" si="222"/>
        <v>0.10872185945945947</v>
      </c>
      <c r="BD92" s="382">
        <f>G92-AX92</f>
        <v>0</v>
      </c>
      <c r="BE92" s="262">
        <v>0</v>
      </c>
      <c r="BF92" s="382">
        <f t="shared" si="223"/>
        <v>29679.56208</v>
      </c>
      <c r="BG92" s="262">
        <f t="shared" si="241"/>
        <v>1</v>
      </c>
      <c r="BH92" s="260">
        <f>'[1]тыс. руб 1 знак'!$AV$89+2386.94629</f>
        <v>29679.56208</v>
      </c>
      <c r="BI92" s="262">
        <f t="shared" si="243"/>
        <v>1</v>
      </c>
      <c r="BJ92" s="260">
        <v>0</v>
      </c>
      <c r="BK92" s="391">
        <v>0</v>
      </c>
      <c r="BL92" s="389">
        <f t="shared" si="224"/>
        <v>0</v>
      </c>
      <c r="BM92" s="262">
        <f t="shared" si="244"/>
        <v>0</v>
      </c>
      <c r="BN92" s="389">
        <f>AV92-BH92</f>
        <v>0</v>
      </c>
      <c r="BO92" s="262">
        <f t="shared" si="245"/>
        <v>0</v>
      </c>
      <c r="BP92" s="389">
        <v>0</v>
      </c>
      <c r="BQ92" s="262">
        <v>0</v>
      </c>
      <c r="BR92" s="382">
        <f t="shared" si="225"/>
        <v>3620.4379200000003</v>
      </c>
      <c r="BS92" s="263">
        <f t="shared" si="246"/>
        <v>0.10872185945945947</v>
      </c>
      <c r="BT92" s="176">
        <f t="shared" si="247"/>
        <v>3620.4379200000003</v>
      </c>
      <c r="BU92" s="263">
        <f t="shared" si="242"/>
        <v>0.10872185945945947</v>
      </c>
      <c r="BV92" s="389">
        <v>0</v>
      </c>
      <c r="BW92" s="263">
        <v>0</v>
      </c>
      <c r="BX92" s="423"/>
      <c r="BY92" s="271" t="e">
        <f t="shared" si="248"/>
        <v>#DIV/0!</v>
      </c>
      <c r="BZ92" s="176" t="e">
        <f t="shared" si="226"/>
        <v>#REF!</v>
      </c>
      <c r="CA92" s="271" t="e">
        <f t="shared" si="199"/>
        <v>#REF!</v>
      </c>
      <c r="CB92" s="382" t="e">
        <f>#REF!-#REF!</f>
        <v>#REF!</v>
      </c>
      <c r="CC92" s="271" t="e">
        <f t="shared" si="200"/>
        <v>#REF!</v>
      </c>
      <c r="CD92" s="389"/>
      <c r="CE92" s="271" t="e">
        <f t="shared" si="239"/>
        <v>#DIV/0!</v>
      </c>
      <c r="CF92" s="382">
        <f t="shared" si="230"/>
        <v>0</v>
      </c>
      <c r="CG92" s="396"/>
      <c r="CH92" s="382">
        <f t="shared" si="227"/>
        <v>0</v>
      </c>
      <c r="CI92" s="396"/>
      <c r="CJ92" s="382">
        <f t="shared" si="228"/>
        <v>0</v>
      </c>
      <c r="CK92" s="397"/>
    </row>
    <row r="93" spans="2:89" s="3" customFormat="1" ht="18.75" hidden="1" customHeight="1">
      <c r="B93" s="395"/>
      <c r="C93" s="427" t="s">
        <v>83</v>
      </c>
      <c r="D93" s="421"/>
      <c r="E93" s="385">
        <f t="shared" si="209"/>
        <v>54792.770430000004</v>
      </c>
      <c r="F93" s="385">
        <v>54207.551420000003</v>
      </c>
      <c r="G93" s="385">
        <v>585.21901000000003</v>
      </c>
      <c r="H93" s="385">
        <f t="shared" si="210"/>
        <v>-50126.704650000007</v>
      </c>
      <c r="I93" s="385">
        <f>L93-F93</f>
        <v>-49541.485640000006</v>
      </c>
      <c r="J93" s="385">
        <f>M93-G93</f>
        <v>-585.21901000000003</v>
      </c>
      <c r="K93" s="387">
        <f t="shared" si="211"/>
        <v>4666.0657799999999</v>
      </c>
      <c r="L93" s="252">
        <f>R93</f>
        <v>4666.0657799999999</v>
      </c>
      <c r="M93" s="252">
        <v>0</v>
      </c>
      <c r="N93" s="387">
        <f t="shared" si="212"/>
        <v>0</v>
      </c>
      <c r="O93" s="387">
        <f>R93-L93</f>
        <v>0</v>
      </c>
      <c r="P93" s="387"/>
      <c r="Q93" s="385">
        <f t="shared" si="213"/>
        <v>4666.0657799999999</v>
      </c>
      <c r="R93" s="386">
        <v>4666.0657799999999</v>
      </c>
      <c r="S93" s="385">
        <f>585.21901-585.21901</f>
        <v>0</v>
      </c>
      <c r="T93" s="388">
        <f>V93+X93</f>
        <v>17194.280210000001</v>
      </c>
      <c r="U93" s="253">
        <f t="shared" si="232"/>
        <v>3.6849630975412442</v>
      </c>
      <c r="V93" s="388">
        <v>17194.280210000001</v>
      </c>
      <c r="W93" s="253">
        <f t="shared" si="233"/>
        <v>3.6849630975412442</v>
      </c>
      <c r="X93" s="387"/>
      <c r="Y93" s="253" t="e">
        <f t="shared" si="234"/>
        <v>#DIV/0!</v>
      </c>
      <c r="Z93" s="251">
        <f t="shared" si="214"/>
        <v>-12528.21443</v>
      </c>
      <c r="AA93" s="253">
        <f t="shared" si="235"/>
        <v>-2.6849630975412437</v>
      </c>
      <c r="AB93" s="387">
        <f t="shared" si="101"/>
        <v>-12528.21443</v>
      </c>
      <c r="AC93" s="253">
        <f t="shared" si="236"/>
        <v>-2.6849630975412437</v>
      </c>
      <c r="AD93" s="387"/>
      <c r="AE93" s="387">
        <f t="shared" si="215"/>
        <v>0</v>
      </c>
      <c r="AF93" s="387"/>
      <c r="AG93" s="387"/>
      <c r="AH93" s="387">
        <f t="shared" si="216"/>
        <v>1092.14679</v>
      </c>
      <c r="AI93" s="387">
        <v>1092.14679</v>
      </c>
      <c r="AJ93" s="387"/>
      <c r="AK93" s="251">
        <f t="shared" si="250"/>
        <v>1386.7404200000001</v>
      </c>
      <c r="AL93" s="255">
        <f t="shared" si="217"/>
        <v>1.2697381274178356</v>
      </c>
      <c r="AM93" s="256">
        <f t="shared" si="237"/>
        <v>0.2971969289297075</v>
      </c>
      <c r="AN93" s="387">
        <v>1386.7404200000001</v>
      </c>
      <c r="AO93" s="257">
        <f t="shared" si="218"/>
        <v>1.2697381274178356</v>
      </c>
      <c r="AP93" s="256">
        <f t="shared" ref="AP93:AP103" si="253">AN93/R93</f>
        <v>0.2971969289297075</v>
      </c>
      <c r="AQ93" s="388">
        <v>0</v>
      </c>
      <c r="AR93" s="257" t="e">
        <f t="shared" si="240"/>
        <v>#DIV/0!</v>
      </c>
      <c r="AS93" s="257">
        <v>0</v>
      </c>
      <c r="AT93" s="251">
        <f t="shared" si="251"/>
        <v>3756.9658199999999</v>
      </c>
      <c r="AU93" s="259">
        <f t="shared" si="219"/>
        <v>0.80516777883915724</v>
      </c>
      <c r="AV93" s="389">
        <f>BH93</f>
        <v>3756.9658199999999</v>
      </c>
      <c r="AW93" s="261">
        <f t="shared" si="220"/>
        <v>0.80516777883915724</v>
      </c>
      <c r="AX93" s="382">
        <v>0</v>
      </c>
      <c r="AY93" s="261">
        <v>0</v>
      </c>
      <c r="AZ93" s="382">
        <f t="shared" si="252"/>
        <v>909.09996000000001</v>
      </c>
      <c r="BA93" s="262">
        <f t="shared" si="221"/>
        <v>0.1948322211608427</v>
      </c>
      <c r="BB93" s="176">
        <f>L93-AV93</f>
        <v>909.09996000000001</v>
      </c>
      <c r="BC93" s="262">
        <f t="shared" si="222"/>
        <v>0.1948322211608427</v>
      </c>
      <c r="BD93" s="382">
        <v>0</v>
      </c>
      <c r="BE93" s="262">
        <v>0</v>
      </c>
      <c r="BF93" s="382">
        <f t="shared" si="223"/>
        <v>3756.9658199999999</v>
      </c>
      <c r="BG93" s="262">
        <f t="shared" si="241"/>
        <v>1</v>
      </c>
      <c r="BH93" s="260">
        <f>'[1]тыс. руб 1 знак'!$AV$90</f>
        <v>3756.9658199999999</v>
      </c>
      <c r="BI93" s="262">
        <f t="shared" si="243"/>
        <v>1</v>
      </c>
      <c r="BJ93" s="260">
        <v>0</v>
      </c>
      <c r="BK93" s="391">
        <v>0</v>
      </c>
      <c r="BL93" s="389">
        <f t="shared" si="224"/>
        <v>0</v>
      </c>
      <c r="BM93" s="262">
        <f t="shared" si="244"/>
        <v>0</v>
      </c>
      <c r="BN93" s="389">
        <f>AV93-BH93</f>
        <v>0</v>
      </c>
      <c r="BO93" s="262">
        <f t="shared" si="245"/>
        <v>0</v>
      </c>
      <c r="BP93" s="389">
        <v>0</v>
      </c>
      <c r="BQ93" s="262">
        <v>0</v>
      </c>
      <c r="BR93" s="382">
        <f t="shared" si="225"/>
        <v>909.09996000000001</v>
      </c>
      <c r="BS93" s="263">
        <f t="shared" si="246"/>
        <v>0.1948322211608427</v>
      </c>
      <c r="BT93" s="176">
        <f t="shared" si="247"/>
        <v>909.09996000000001</v>
      </c>
      <c r="BU93" s="263">
        <f t="shared" si="242"/>
        <v>0.1948322211608427</v>
      </c>
      <c r="BV93" s="389">
        <v>0</v>
      </c>
      <c r="BW93" s="263">
        <v>0</v>
      </c>
      <c r="BX93" s="423"/>
      <c r="BY93" s="271" t="e">
        <f t="shared" si="248"/>
        <v>#DIV/0!</v>
      </c>
      <c r="BZ93" s="176" t="e">
        <f t="shared" si="226"/>
        <v>#REF!</v>
      </c>
      <c r="CA93" s="271" t="e">
        <f t="shared" si="199"/>
        <v>#REF!</v>
      </c>
      <c r="CB93" s="382" t="e">
        <f>#REF!-#REF!</f>
        <v>#REF!</v>
      </c>
      <c r="CC93" s="271" t="e">
        <f t="shared" si="200"/>
        <v>#REF!</v>
      </c>
      <c r="CD93" s="382"/>
      <c r="CE93" s="271" t="e">
        <f t="shared" si="239"/>
        <v>#DIV/0!</v>
      </c>
      <c r="CF93" s="382">
        <f t="shared" si="230"/>
        <v>0</v>
      </c>
      <c r="CG93" s="396"/>
      <c r="CH93" s="382">
        <f t="shared" si="227"/>
        <v>0</v>
      </c>
      <c r="CI93" s="396"/>
      <c r="CJ93" s="382">
        <f t="shared" si="228"/>
        <v>0</v>
      </c>
      <c r="CK93" s="397"/>
    </row>
    <row r="94" spans="2:89" s="430" customFormat="1" ht="33" hidden="1" customHeight="1">
      <c r="B94" s="395" t="s">
        <v>145</v>
      </c>
      <c r="C94" s="360" t="s">
        <v>146</v>
      </c>
      <c r="D94" s="421"/>
      <c r="E94" s="385">
        <f t="shared" si="209"/>
        <v>0</v>
      </c>
      <c r="F94" s="386">
        <f>SUM(F95:F96)</f>
        <v>0</v>
      </c>
      <c r="G94" s="386"/>
      <c r="H94" s="385">
        <f t="shared" si="210"/>
        <v>0</v>
      </c>
      <c r="I94" s="386">
        <f>SUM(I95:I96)</f>
        <v>0</v>
      </c>
      <c r="J94" s="386"/>
      <c r="K94" s="387">
        <f t="shared" si="211"/>
        <v>0</v>
      </c>
      <c r="L94" s="252">
        <f>SUM(L95:L96)</f>
        <v>0</v>
      </c>
      <c r="M94" s="252">
        <v>0</v>
      </c>
      <c r="N94" s="387">
        <f t="shared" si="212"/>
        <v>0</v>
      </c>
      <c r="O94" s="388">
        <f>SUM(O95:O96)</f>
        <v>0</v>
      </c>
      <c r="P94" s="388"/>
      <c r="Q94" s="385">
        <f t="shared" si="213"/>
        <v>0</v>
      </c>
      <c r="R94" s="386">
        <f>SUM(R95:R96)</f>
        <v>0</v>
      </c>
      <c r="S94" s="386"/>
      <c r="T94" s="388">
        <f>SUM(T95:T96)</f>
        <v>0</v>
      </c>
      <c r="U94" s="253" t="e">
        <f t="shared" si="232"/>
        <v>#DIV/0!</v>
      </c>
      <c r="V94" s="388">
        <f>SUM(V95:V96)</f>
        <v>0</v>
      </c>
      <c r="W94" s="253" t="e">
        <f t="shared" si="233"/>
        <v>#DIV/0!</v>
      </c>
      <c r="X94" s="388">
        <f>SUM(X95:X96)</f>
        <v>0</v>
      </c>
      <c r="Y94" s="253" t="e">
        <f t="shared" si="234"/>
        <v>#DIV/0!</v>
      </c>
      <c r="Z94" s="387">
        <f t="shared" si="214"/>
        <v>0</v>
      </c>
      <c r="AA94" s="253" t="e">
        <f t="shared" si="235"/>
        <v>#DIV/0!</v>
      </c>
      <c r="AB94" s="387">
        <f t="shared" si="101"/>
        <v>0</v>
      </c>
      <c r="AC94" s="254" t="e">
        <f t="shared" si="236"/>
        <v>#DIV/0!</v>
      </c>
      <c r="AD94" s="388"/>
      <c r="AE94" s="387">
        <f t="shared" si="215"/>
        <v>0</v>
      </c>
      <c r="AF94" s="388">
        <f>SUM(AF95:AF96)</f>
        <v>0</v>
      </c>
      <c r="AG94" s="388"/>
      <c r="AH94" s="387">
        <f t="shared" si="216"/>
        <v>0</v>
      </c>
      <c r="AI94" s="388">
        <f>SUM(AI95:AI96)</f>
        <v>0</v>
      </c>
      <c r="AJ94" s="388"/>
      <c r="AK94" s="251">
        <f t="shared" si="250"/>
        <v>0</v>
      </c>
      <c r="AL94" s="255" t="e">
        <f t="shared" si="217"/>
        <v>#DIV/0!</v>
      </c>
      <c r="AM94" s="256" t="e">
        <f t="shared" si="237"/>
        <v>#DIV/0!</v>
      </c>
      <c r="AN94" s="388">
        <f>SUM(AN95:AN96)</f>
        <v>0</v>
      </c>
      <c r="AO94" s="257" t="e">
        <f t="shared" si="218"/>
        <v>#DIV/0!</v>
      </c>
      <c r="AP94" s="256" t="e">
        <f t="shared" si="253"/>
        <v>#DIV/0!</v>
      </c>
      <c r="AQ94" s="388">
        <v>0</v>
      </c>
      <c r="AR94" s="258" t="e">
        <f t="shared" si="240"/>
        <v>#DIV/0!</v>
      </c>
      <c r="AS94" s="257">
        <v>0</v>
      </c>
      <c r="AT94" s="251">
        <f t="shared" si="251"/>
        <v>0</v>
      </c>
      <c r="AU94" s="259" t="e">
        <f t="shared" si="219"/>
        <v>#DIV/0!</v>
      </c>
      <c r="AV94" s="389">
        <f t="shared" ref="AV94:AV102" si="254">L94</f>
        <v>0</v>
      </c>
      <c r="AW94" s="261" t="e">
        <f t="shared" si="220"/>
        <v>#DIV/0!</v>
      </c>
      <c r="AX94" s="389">
        <f>SUM(AX95:AX96)</f>
        <v>0</v>
      </c>
      <c r="AY94" s="261">
        <v>0</v>
      </c>
      <c r="AZ94" s="382">
        <f t="shared" si="252"/>
        <v>0</v>
      </c>
      <c r="BA94" s="262" t="e">
        <f t="shared" si="221"/>
        <v>#DIV/0!</v>
      </c>
      <c r="BB94" s="382">
        <f>R94-AV94</f>
        <v>0</v>
      </c>
      <c r="BC94" s="262" t="e">
        <f t="shared" si="222"/>
        <v>#DIV/0!</v>
      </c>
      <c r="BD94" s="382">
        <f t="shared" ref="BD94:BD102" si="255">G94-AX94</f>
        <v>0</v>
      </c>
      <c r="BE94" s="262" t="e">
        <f>BD94/S94</f>
        <v>#DIV/0!</v>
      </c>
      <c r="BF94" s="382">
        <f t="shared" si="223"/>
        <v>0</v>
      </c>
      <c r="BG94" s="262" t="e">
        <f t="shared" si="241"/>
        <v>#DIV/0!</v>
      </c>
      <c r="BH94" s="389">
        <f>SUM(BH95:BH96)</f>
        <v>0</v>
      </c>
      <c r="BI94" s="262" t="e">
        <f t="shared" si="243"/>
        <v>#DIV/0!</v>
      </c>
      <c r="BJ94" s="260">
        <v>0</v>
      </c>
      <c r="BK94" s="391">
        <v>0</v>
      </c>
      <c r="BL94" s="389">
        <f t="shared" si="224"/>
        <v>0</v>
      </c>
      <c r="BM94" s="262" t="e">
        <f t="shared" si="244"/>
        <v>#DIV/0!</v>
      </c>
      <c r="BN94" s="389">
        <v>0</v>
      </c>
      <c r="BO94" s="262" t="e">
        <f t="shared" si="245"/>
        <v>#DIV/0!</v>
      </c>
      <c r="BP94" s="389">
        <v>0</v>
      </c>
      <c r="BQ94" s="262">
        <v>0</v>
      </c>
      <c r="BR94" s="382">
        <f t="shared" si="225"/>
        <v>0</v>
      </c>
      <c r="BS94" s="263" t="e">
        <f t="shared" si="246"/>
        <v>#DIV/0!</v>
      </c>
      <c r="BT94" s="176">
        <f t="shared" si="247"/>
        <v>0</v>
      </c>
      <c r="BU94" s="263" t="e">
        <f t="shared" si="242"/>
        <v>#DIV/0!</v>
      </c>
      <c r="BV94" s="389">
        <v>0</v>
      </c>
      <c r="BW94" s="263">
        <v>0</v>
      </c>
      <c r="BX94" s="392"/>
      <c r="BY94" s="265" t="e">
        <f t="shared" si="248"/>
        <v>#DIV/0!</v>
      </c>
      <c r="BZ94" s="382" t="e">
        <f t="shared" si="226"/>
        <v>#REF!</v>
      </c>
      <c r="CA94" s="265" t="e">
        <f t="shared" si="199"/>
        <v>#REF!</v>
      </c>
      <c r="CB94" s="178" t="e">
        <f>#REF!-#REF!</f>
        <v>#REF!</v>
      </c>
      <c r="CC94" s="265" t="e">
        <f t="shared" si="200"/>
        <v>#REF!</v>
      </c>
      <c r="CD94" s="389"/>
      <c r="CE94" s="265" t="e">
        <f t="shared" si="239"/>
        <v>#DIV/0!</v>
      </c>
      <c r="CF94" s="382">
        <f t="shared" si="230"/>
        <v>0</v>
      </c>
      <c r="CG94" s="428"/>
      <c r="CH94" s="382">
        <f t="shared" si="227"/>
        <v>0</v>
      </c>
      <c r="CI94" s="428"/>
      <c r="CJ94" s="382">
        <f t="shared" si="228"/>
        <v>0</v>
      </c>
      <c r="CK94" s="429"/>
    </row>
    <row r="95" spans="2:89" s="430" customFormat="1" ht="22.5" hidden="1" customHeight="1">
      <c r="B95" s="431"/>
      <c r="C95" s="427" t="s">
        <v>82</v>
      </c>
      <c r="D95" s="432"/>
      <c r="E95" s="433">
        <f t="shared" si="209"/>
        <v>0</v>
      </c>
      <c r="F95" s="433"/>
      <c r="G95" s="433"/>
      <c r="H95" s="433">
        <f t="shared" si="210"/>
        <v>0</v>
      </c>
      <c r="I95" s="433">
        <f>L95-F95</f>
        <v>0</v>
      </c>
      <c r="J95" s="433"/>
      <c r="K95" s="387">
        <f t="shared" si="211"/>
        <v>0</v>
      </c>
      <c r="L95" s="251">
        <v>0</v>
      </c>
      <c r="M95" s="252">
        <v>0</v>
      </c>
      <c r="N95" s="387">
        <f t="shared" si="212"/>
        <v>0</v>
      </c>
      <c r="O95" s="434">
        <f>R95-L95</f>
        <v>0</v>
      </c>
      <c r="P95" s="434"/>
      <c r="Q95" s="433">
        <f t="shared" si="213"/>
        <v>0</v>
      </c>
      <c r="R95" s="433">
        <v>0</v>
      </c>
      <c r="S95" s="433"/>
      <c r="T95" s="434"/>
      <c r="U95" s="253" t="e">
        <f t="shared" si="232"/>
        <v>#DIV/0!</v>
      </c>
      <c r="V95" s="434"/>
      <c r="W95" s="253" t="e">
        <f t="shared" si="233"/>
        <v>#DIV/0!</v>
      </c>
      <c r="X95" s="387"/>
      <c r="Y95" s="253" t="e">
        <f t="shared" si="234"/>
        <v>#DIV/0!</v>
      </c>
      <c r="Z95" s="387">
        <f t="shared" si="214"/>
        <v>0</v>
      </c>
      <c r="AA95" s="253" t="e">
        <f t="shared" si="235"/>
        <v>#DIV/0!</v>
      </c>
      <c r="AB95" s="387">
        <f t="shared" si="101"/>
        <v>0</v>
      </c>
      <c r="AC95" s="253" t="e">
        <f t="shared" si="236"/>
        <v>#DIV/0!</v>
      </c>
      <c r="AD95" s="387"/>
      <c r="AE95" s="387">
        <f t="shared" si="215"/>
        <v>0</v>
      </c>
      <c r="AF95" s="387"/>
      <c r="AG95" s="387"/>
      <c r="AH95" s="387">
        <f t="shared" si="216"/>
        <v>0</v>
      </c>
      <c r="AI95" s="387"/>
      <c r="AJ95" s="387"/>
      <c r="AK95" s="251">
        <f t="shared" si="250"/>
        <v>0</v>
      </c>
      <c r="AL95" s="255" t="e">
        <f t="shared" si="217"/>
        <v>#DIV/0!</v>
      </c>
      <c r="AM95" s="256" t="e">
        <f t="shared" si="237"/>
        <v>#DIV/0!</v>
      </c>
      <c r="AN95" s="387">
        <v>0</v>
      </c>
      <c r="AO95" s="257" t="e">
        <f t="shared" si="218"/>
        <v>#DIV/0!</v>
      </c>
      <c r="AP95" s="256" t="e">
        <f t="shared" si="253"/>
        <v>#DIV/0!</v>
      </c>
      <c r="AQ95" s="388">
        <v>0</v>
      </c>
      <c r="AR95" s="257" t="e">
        <f t="shared" si="240"/>
        <v>#DIV/0!</v>
      </c>
      <c r="AS95" s="257">
        <v>0</v>
      </c>
      <c r="AT95" s="251">
        <f t="shared" si="251"/>
        <v>0</v>
      </c>
      <c r="AU95" s="259" t="e">
        <f t="shared" si="219"/>
        <v>#DIV/0!</v>
      </c>
      <c r="AV95" s="389">
        <f t="shared" si="254"/>
        <v>0</v>
      </c>
      <c r="AW95" s="261" t="e">
        <f t="shared" si="220"/>
        <v>#DIV/0!</v>
      </c>
      <c r="AX95" s="382">
        <v>0</v>
      </c>
      <c r="AY95" s="261">
        <v>0</v>
      </c>
      <c r="AZ95" s="382">
        <f t="shared" si="252"/>
        <v>0</v>
      </c>
      <c r="BA95" s="262" t="e">
        <f t="shared" si="221"/>
        <v>#DIV/0!</v>
      </c>
      <c r="BB95" s="382">
        <f>R95-AV95</f>
        <v>0</v>
      </c>
      <c r="BC95" s="262" t="e">
        <f t="shared" si="222"/>
        <v>#DIV/0!</v>
      </c>
      <c r="BD95" s="382">
        <f t="shared" si="255"/>
        <v>0</v>
      </c>
      <c r="BE95" s="262" t="e">
        <f>BD95/S95</f>
        <v>#DIV/0!</v>
      </c>
      <c r="BF95" s="382">
        <f t="shared" si="223"/>
        <v>0</v>
      </c>
      <c r="BG95" s="262" t="e">
        <f t="shared" si="241"/>
        <v>#DIV/0!</v>
      </c>
      <c r="BH95" s="382">
        <v>0</v>
      </c>
      <c r="BI95" s="262" t="e">
        <f t="shared" si="243"/>
        <v>#DIV/0!</v>
      </c>
      <c r="BJ95" s="260">
        <v>0</v>
      </c>
      <c r="BK95" s="391">
        <v>0</v>
      </c>
      <c r="BL95" s="389">
        <f t="shared" si="224"/>
        <v>0</v>
      </c>
      <c r="BM95" s="262" t="e">
        <f t="shared" si="244"/>
        <v>#DIV/0!</v>
      </c>
      <c r="BN95" s="389">
        <f t="shared" ref="BN95:BN96" si="256">AV95-BH95</f>
        <v>0</v>
      </c>
      <c r="BO95" s="262" t="e">
        <f t="shared" si="245"/>
        <v>#DIV/0!</v>
      </c>
      <c r="BP95" s="389">
        <v>0</v>
      </c>
      <c r="BQ95" s="262">
        <v>0</v>
      </c>
      <c r="BR95" s="382">
        <f t="shared" si="225"/>
        <v>0</v>
      </c>
      <c r="BS95" s="263" t="e">
        <f t="shared" si="246"/>
        <v>#DIV/0!</v>
      </c>
      <c r="BT95" s="176">
        <f t="shared" si="247"/>
        <v>0</v>
      </c>
      <c r="BU95" s="263" t="e">
        <f t="shared" si="242"/>
        <v>#DIV/0!</v>
      </c>
      <c r="BV95" s="389">
        <v>0</v>
      </c>
      <c r="BW95" s="263">
        <v>0</v>
      </c>
      <c r="BX95" s="435"/>
      <c r="BY95" s="271" t="e">
        <f t="shared" si="248"/>
        <v>#DIV/0!</v>
      </c>
      <c r="BZ95" s="436" t="e">
        <f t="shared" si="226"/>
        <v>#REF!</v>
      </c>
      <c r="CA95" s="271" t="e">
        <f t="shared" si="199"/>
        <v>#REF!</v>
      </c>
      <c r="CB95" s="178" t="e">
        <f>#REF!-#REF!</f>
        <v>#REF!</v>
      </c>
      <c r="CC95" s="271" t="e">
        <f t="shared" si="200"/>
        <v>#REF!</v>
      </c>
      <c r="CD95" s="436"/>
      <c r="CE95" s="271" t="e">
        <f t="shared" si="239"/>
        <v>#DIV/0!</v>
      </c>
      <c r="CF95" s="436">
        <f t="shared" si="230"/>
        <v>0</v>
      </c>
      <c r="CG95" s="428"/>
      <c r="CH95" s="436">
        <f t="shared" si="227"/>
        <v>0</v>
      </c>
      <c r="CI95" s="428"/>
      <c r="CJ95" s="436">
        <f t="shared" si="228"/>
        <v>0</v>
      </c>
      <c r="CK95" s="429"/>
    </row>
    <row r="96" spans="2:89" s="430" customFormat="1" ht="22.5" hidden="1" customHeight="1">
      <c r="B96" s="431"/>
      <c r="C96" s="427" t="s">
        <v>83</v>
      </c>
      <c r="D96" s="437"/>
      <c r="E96" s="438">
        <f t="shared" si="209"/>
        <v>0</v>
      </c>
      <c r="F96" s="438"/>
      <c r="G96" s="438"/>
      <c r="H96" s="438">
        <f t="shared" si="210"/>
        <v>0</v>
      </c>
      <c r="I96" s="438">
        <f>L96-F96</f>
        <v>0</v>
      </c>
      <c r="J96" s="438"/>
      <c r="K96" s="387">
        <f t="shared" si="211"/>
        <v>0</v>
      </c>
      <c r="L96" s="251">
        <v>0</v>
      </c>
      <c r="M96" s="252">
        <v>0</v>
      </c>
      <c r="N96" s="387">
        <f t="shared" si="212"/>
        <v>0</v>
      </c>
      <c r="O96" s="439">
        <f>R96-L96</f>
        <v>0</v>
      </c>
      <c r="P96" s="439"/>
      <c r="Q96" s="438">
        <f t="shared" si="213"/>
        <v>0</v>
      </c>
      <c r="R96" s="438">
        <v>0</v>
      </c>
      <c r="S96" s="438"/>
      <c r="T96" s="439"/>
      <c r="U96" s="253" t="e">
        <f t="shared" si="232"/>
        <v>#DIV/0!</v>
      </c>
      <c r="V96" s="439"/>
      <c r="W96" s="253" t="e">
        <f t="shared" si="233"/>
        <v>#DIV/0!</v>
      </c>
      <c r="X96" s="387"/>
      <c r="Y96" s="253" t="e">
        <f t="shared" si="234"/>
        <v>#DIV/0!</v>
      </c>
      <c r="Z96" s="387">
        <f t="shared" si="214"/>
        <v>0</v>
      </c>
      <c r="AA96" s="253" t="e">
        <f t="shared" si="235"/>
        <v>#DIV/0!</v>
      </c>
      <c r="AB96" s="387">
        <f t="shared" si="101"/>
        <v>0</v>
      </c>
      <c r="AC96" s="253" t="e">
        <f t="shared" si="236"/>
        <v>#DIV/0!</v>
      </c>
      <c r="AD96" s="387"/>
      <c r="AE96" s="387">
        <f t="shared" si="215"/>
        <v>0</v>
      </c>
      <c r="AF96" s="387"/>
      <c r="AG96" s="387"/>
      <c r="AH96" s="387">
        <f t="shared" si="216"/>
        <v>0</v>
      </c>
      <c r="AI96" s="387"/>
      <c r="AJ96" s="387"/>
      <c r="AK96" s="251">
        <f t="shared" si="250"/>
        <v>0</v>
      </c>
      <c r="AL96" s="255" t="e">
        <f t="shared" si="217"/>
        <v>#DIV/0!</v>
      </c>
      <c r="AM96" s="256">
        <v>0</v>
      </c>
      <c r="AN96" s="387">
        <v>0</v>
      </c>
      <c r="AO96" s="257" t="e">
        <f t="shared" si="218"/>
        <v>#DIV/0!</v>
      </c>
      <c r="AP96" s="256">
        <v>0</v>
      </c>
      <c r="AQ96" s="388">
        <v>0</v>
      </c>
      <c r="AR96" s="257" t="e">
        <f t="shared" si="240"/>
        <v>#DIV/0!</v>
      </c>
      <c r="AS96" s="257">
        <v>0</v>
      </c>
      <c r="AT96" s="251">
        <f t="shared" si="251"/>
        <v>0</v>
      </c>
      <c r="AU96" s="259" t="e">
        <f t="shared" si="219"/>
        <v>#DIV/0!</v>
      </c>
      <c r="AV96" s="389">
        <f t="shared" si="254"/>
        <v>0</v>
      </c>
      <c r="AW96" s="261" t="e">
        <f t="shared" si="220"/>
        <v>#DIV/0!</v>
      </c>
      <c r="AX96" s="382">
        <v>0</v>
      </c>
      <c r="AY96" s="261">
        <v>0</v>
      </c>
      <c r="AZ96" s="382">
        <f t="shared" si="252"/>
        <v>0</v>
      </c>
      <c r="BA96" s="262" t="e">
        <f t="shared" si="221"/>
        <v>#DIV/0!</v>
      </c>
      <c r="BB96" s="382">
        <f>R96-AV96</f>
        <v>0</v>
      </c>
      <c r="BC96" s="262" t="e">
        <f t="shared" si="222"/>
        <v>#DIV/0!</v>
      </c>
      <c r="BD96" s="382">
        <f t="shared" si="255"/>
        <v>0</v>
      </c>
      <c r="BE96" s="262" t="e">
        <f>BD96/S96</f>
        <v>#DIV/0!</v>
      </c>
      <c r="BF96" s="382">
        <f t="shared" si="223"/>
        <v>0</v>
      </c>
      <c r="BG96" s="262" t="e">
        <f t="shared" si="241"/>
        <v>#DIV/0!</v>
      </c>
      <c r="BH96" s="382">
        <v>0</v>
      </c>
      <c r="BI96" s="262" t="e">
        <f t="shared" si="243"/>
        <v>#DIV/0!</v>
      </c>
      <c r="BJ96" s="260">
        <v>0</v>
      </c>
      <c r="BK96" s="391">
        <v>0</v>
      </c>
      <c r="BL96" s="389">
        <f t="shared" si="224"/>
        <v>0</v>
      </c>
      <c r="BM96" s="262" t="e">
        <f t="shared" si="244"/>
        <v>#DIV/0!</v>
      </c>
      <c r="BN96" s="389">
        <f t="shared" si="256"/>
        <v>0</v>
      </c>
      <c r="BO96" s="262" t="e">
        <f t="shared" si="245"/>
        <v>#DIV/0!</v>
      </c>
      <c r="BP96" s="389">
        <v>0</v>
      </c>
      <c r="BQ96" s="262">
        <v>0</v>
      </c>
      <c r="BR96" s="382">
        <f t="shared" si="225"/>
        <v>0</v>
      </c>
      <c r="BS96" s="263" t="e">
        <f t="shared" si="246"/>
        <v>#DIV/0!</v>
      </c>
      <c r="BT96" s="176">
        <f t="shared" si="247"/>
        <v>0</v>
      </c>
      <c r="BU96" s="263" t="e">
        <f t="shared" si="242"/>
        <v>#DIV/0!</v>
      </c>
      <c r="BV96" s="389">
        <v>0</v>
      </c>
      <c r="BW96" s="263">
        <v>0</v>
      </c>
      <c r="BX96" s="440"/>
      <c r="BY96" s="271" t="e">
        <f t="shared" si="248"/>
        <v>#DIV/0!</v>
      </c>
      <c r="BZ96" s="178" t="e">
        <f t="shared" si="226"/>
        <v>#REF!</v>
      </c>
      <c r="CA96" s="271" t="e">
        <f t="shared" si="199"/>
        <v>#REF!</v>
      </c>
      <c r="CB96" s="178" t="e">
        <f>#REF!-#REF!</f>
        <v>#REF!</v>
      </c>
      <c r="CC96" s="271" t="e">
        <f t="shared" si="200"/>
        <v>#REF!</v>
      </c>
      <c r="CD96" s="178"/>
      <c r="CE96" s="271" t="e">
        <f t="shared" si="239"/>
        <v>#DIV/0!</v>
      </c>
      <c r="CF96" s="178">
        <f t="shared" si="230"/>
        <v>0</v>
      </c>
      <c r="CG96" s="428"/>
      <c r="CH96" s="178">
        <f t="shared" si="227"/>
        <v>0</v>
      </c>
      <c r="CI96" s="428"/>
      <c r="CJ96" s="178">
        <f t="shared" si="228"/>
        <v>0</v>
      </c>
      <c r="CK96" s="429"/>
    </row>
    <row r="97" spans="2:89" s="430" customFormat="1" ht="45" hidden="1" customHeight="1">
      <c r="B97" s="395" t="s">
        <v>147</v>
      </c>
      <c r="C97" s="360" t="s">
        <v>148</v>
      </c>
      <c r="D97" s="421"/>
      <c r="E97" s="385">
        <f t="shared" si="209"/>
        <v>0</v>
      </c>
      <c r="F97" s="386">
        <f>SUM(F98:F99)</f>
        <v>0</v>
      </c>
      <c r="G97" s="386"/>
      <c r="H97" s="385">
        <f t="shared" si="210"/>
        <v>0</v>
      </c>
      <c r="I97" s="386">
        <f>SUM(I98:I99)</f>
        <v>0</v>
      </c>
      <c r="J97" s="386"/>
      <c r="K97" s="387">
        <f t="shared" si="211"/>
        <v>0</v>
      </c>
      <c r="L97" s="252">
        <f>SUM(L98:L99)</f>
        <v>0</v>
      </c>
      <c r="M97" s="252">
        <v>0</v>
      </c>
      <c r="N97" s="387">
        <f t="shared" si="212"/>
        <v>0</v>
      </c>
      <c r="O97" s="388">
        <f>SUM(O98:O99)</f>
        <v>0</v>
      </c>
      <c r="P97" s="388"/>
      <c r="Q97" s="385">
        <f t="shared" si="213"/>
        <v>0</v>
      </c>
      <c r="R97" s="386">
        <f>SUM(R98:R99)</f>
        <v>0</v>
      </c>
      <c r="S97" s="386"/>
      <c r="T97" s="388">
        <f>SUM(T98:T99)</f>
        <v>0</v>
      </c>
      <c r="U97" s="253" t="e">
        <f t="shared" si="232"/>
        <v>#DIV/0!</v>
      </c>
      <c r="V97" s="388">
        <f>SUM(V98:V99)</f>
        <v>0</v>
      </c>
      <c r="W97" s="253" t="e">
        <f t="shared" si="233"/>
        <v>#DIV/0!</v>
      </c>
      <c r="X97" s="388">
        <f>SUM(X98:X99)</f>
        <v>0</v>
      </c>
      <c r="Y97" s="253">
        <v>0</v>
      </c>
      <c r="Z97" s="387">
        <f t="shared" si="214"/>
        <v>0</v>
      </c>
      <c r="AA97" s="253" t="e">
        <f t="shared" si="235"/>
        <v>#DIV/0!</v>
      </c>
      <c r="AB97" s="387">
        <f t="shared" si="101"/>
        <v>0</v>
      </c>
      <c r="AC97" s="254" t="e">
        <f t="shared" si="236"/>
        <v>#DIV/0!</v>
      </c>
      <c r="AD97" s="388"/>
      <c r="AE97" s="387">
        <f t="shared" si="215"/>
        <v>0</v>
      </c>
      <c r="AF97" s="388">
        <f>SUM(AF98:AF99)</f>
        <v>0</v>
      </c>
      <c r="AG97" s="388"/>
      <c r="AH97" s="387">
        <f t="shared" si="216"/>
        <v>0</v>
      </c>
      <c r="AI97" s="388">
        <f>SUM(AI98:AI99)</f>
        <v>0</v>
      </c>
      <c r="AJ97" s="388"/>
      <c r="AK97" s="251">
        <f t="shared" si="250"/>
        <v>0</v>
      </c>
      <c r="AL97" s="255">
        <v>0</v>
      </c>
      <c r="AM97" s="256" t="e">
        <f t="shared" si="237"/>
        <v>#DIV/0!</v>
      </c>
      <c r="AN97" s="388">
        <f>SUM(AN98:AN99)</f>
        <v>0</v>
      </c>
      <c r="AO97" s="257" t="e">
        <f t="shared" si="218"/>
        <v>#DIV/0!</v>
      </c>
      <c r="AP97" s="256" t="e">
        <f t="shared" si="253"/>
        <v>#DIV/0!</v>
      </c>
      <c r="AQ97" s="388">
        <v>0</v>
      </c>
      <c r="AR97" s="258" t="e">
        <f t="shared" si="240"/>
        <v>#DIV/0!</v>
      </c>
      <c r="AS97" s="257">
        <v>0</v>
      </c>
      <c r="AT97" s="251">
        <f t="shared" si="251"/>
        <v>0</v>
      </c>
      <c r="AU97" s="259" t="e">
        <f t="shared" si="219"/>
        <v>#DIV/0!</v>
      </c>
      <c r="AV97" s="389">
        <f t="shared" si="254"/>
        <v>0</v>
      </c>
      <c r="AW97" s="261" t="e">
        <f t="shared" si="220"/>
        <v>#DIV/0!</v>
      </c>
      <c r="AX97" s="389">
        <f>SUM(AX98:AX99)</f>
        <v>0</v>
      </c>
      <c r="AY97" s="261">
        <v>0</v>
      </c>
      <c r="AZ97" s="382">
        <f t="shared" si="252"/>
        <v>0</v>
      </c>
      <c r="BA97" s="262" t="e">
        <f t="shared" si="221"/>
        <v>#DIV/0!</v>
      </c>
      <c r="BB97" s="382">
        <f>BB98+BB99</f>
        <v>0</v>
      </c>
      <c r="BC97" s="262" t="e">
        <f t="shared" si="222"/>
        <v>#DIV/0!</v>
      </c>
      <c r="BD97" s="382">
        <f t="shared" si="255"/>
        <v>0</v>
      </c>
      <c r="BE97" s="262">
        <v>0</v>
      </c>
      <c r="BF97" s="382">
        <f t="shared" si="223"/>
        <v>0</v>
      </c>
      <c r="BG97" s="262" t="e">
        <f t="shared" si="241"/>
        <v>#DIV/0!</v>
      </c>
      <c r="BH97" s="389">
        <f>SUM(BH98:BH99)</f>
        <v>0</v>
      </c>
      <c r="BI97" s="262" t="e">
        <f t="shared" si="243"/>
        <v>#DIV/0!</v>
      </c>
      <c r="BJ97" s="260">
        <v>0</v>
      </c>
      <c r="BK97" s="391">
        <v>0</v>
      </c>
      <c r="BL97" s="389">
        <f t="shared" si="224"/>
        <v>0</v>
      </c>
      <c r="BM97" s="262" t="e">
        <f t="shared" si="244"/>
        <v>#DIV/0!</v>
      </c>
      <c r="BN97" s="389">
        <v>0</v>
      </c>
      <c r="BO97" s="262" t="e">
        <f t="shared" si="245"/>
        <v>#DIV/0!</v>
      </c>
      <c r="BP97" s="389">
        <v>0</v>
      </c>
      <c r="BQ97" s="262">
        <v>0</v>
      </c>
      <c r="BR97" s="382">
        <f t="shared" si="225"/>
        <v>0</v>
      </c>
      <c r="BS97" s="263" t="e">
        <f t="shared" si="246"/>
        <v>#DIV/0!</v>
      </c>
      <c r="BT97" s="176">
        <f t="shared" si="247"/>
        <v>0</v>
      </c>
      <c r="BU97" s="263" t="e">
        <f t="shared" si="242"/>
        <v>#DIV/0!</v>
      </c>
      <c r="BV97" s="389">
        <v>0</v>
      </c>
      <c r="BW97" s="263">
        <v>0</v>
      </c>
      <c r="BX97" s="441" t="s">
        <v>149</v>
      </c>
      <c r="BY97" s="265">
        <v>0</v>
      </c>
      <c r="BZ97" s="382" t="e">
        <f t="shared" si="226"/>
        <v>#REF!</v>
      </c>
      <c r="CA97" s="265" t="e">
        <f t="shared" si="199"/>
        <v>#REF!</v>
      </c>
      <c r="CB97" s="178" t="e">
        <f>#REF!-#REF!</f>
        <v>#REF!</v>
      </c>
      <c r="CC97" s="265" t="e">
        <f t="shared" si="200"/>
        <v>#REF!</v>
      </c>
      <c r="CD97" s="389"/>
      <c r="CE97" s="265" t="e">
        <f t="shared" si="239"/>
        <v>#DIV/0!</v>
      </c>
      <c r="CF97" s="382" t="s">
        <v>81</v>
      </c>
      <c r="CG97" s="382" t="s">
        <v>81</v>
      </c>
      <c r="CH97" s="382">
        <f t="shared" si="227"/>
        <v>0</v>
      </c>
      <c r="CI97" s="428"/>
      <c r="CJ97" s="382">
        <f t="shared" si="228"/>
        <v>0</v>
      </c>
      <c r="CK97" s="429"/>
    </row>
    <row r="98" spans="2:89" s="3" customFormat="1" ht="22.5" hidden="1" customHeight="1">
      <c r="B98" s="395"/>
      <c r="C98" s="427" t="s">
        <v>82</v>
      </c>
      <c r="D98" s="421"/>
      <c r="E98" s="385">
        <f t="shared" si="209"/>
        <v>0</v>
      </c>
      <c r="F98" s="385"/>
      <c r="G98" s="385"/>
      <c r="H98" s="385">
        <f t="shared" si="210"/>
        <v>0</v>
      </c>
      <c r="I98" s="385">
        <f>L98-F98</f>
        <v>0</v>
      </c>
      <c r="J98" s="385"/>
      <c r="K98" s="387">
        <f t="shared" si="211"/>
        <v>0</v>
      </c>
      <c r="L98" s="251">
        <v>0</v>
      </c>
      <c r="M98" s="252">
        <v>0</v>
      </c>
      <c r="N98" s="387">
        <f t="shared" si="212"/>
        <v>0</v>
      </c>
      <c r="O98" s="434">
        <f>R98-L98</f>
        <v>0</v>
      </c>
      <c r="P98" s="387"/>
      <c r="Q98" s="385">
        <f>R98</f>
        <v>0</v>
      </c>
      <c r="R98" s="386">
        <v>0</v>
      </c>
      <c r="S98" s="385"/>
      <c r="T98" s="387"/>
      <c r="U98" s="253" t="e">
        <f t="shared" si="232"/>
        <v>#DIV/0!</v>
      </c>
      <c r="V98" s="387"/>
      <c r="W98" s="253" t="e">
        <f t="shared" si="233"/>
        <v>#DIV/0!</v>
      </c>
      <c r="X98" s="387"/>
      <c r="Y98" s="253" t="e">
        <f t="shared" si="234"/>
        <v>#DIV/0!</v>
      </c>
      <c r="Z98" s="387">
        <f t="shared" si="214"/>
        <v>0</v>
      </c>
      <c r="AA98" s="253" t="e">
        <f t="shared" si="235"/>
        <v>#DIV/0!</v>
      </c>
      <c r="AB98" s="387">
        <f t="shared" ref="AB98:AB104" si="257">L98-V98</f>
        <v>0</v>
      </c>
      <c r="AC98" s="253" t="e">
        <f t="shared" si="236"/>
        <v>#DIV/0!</v>
      </c>
      <c r="AD98" s="387"/>
      <c r="AE98" s="387">
        <f t="shared" si="215"/>
        <v>0</v>
      </c>
      <c r="AF98" s="387"/>
      <c r="AG98" s="387"/>
      <c r="AH98" s="387">
        <f t="shared" si="216"/>
        <v>0</v>
      </c>
      <c r="AI98" s="387"/>
      <c r="AJ98" s="387"/>
      <c r="AK98" s="251">
        <f t="shared" si="250"/>
        <v>0</v>
      </c>
      <c r="AL98" s="255" t="e">
        <f t="shared" si="217"/>
        <v>#DIV/0!</v>
      </c>
      <c r="AM98" s="256">
        <v>0</v>
      </c>
      <c r="AN98" s="387">
        <v>0</v>
      </c>
      <c r="AO98" s="257" t="e">
        <f t="shared" si="218"/>
        <v>#DIV/0!</v>
      </c>
      <c r="AP98" s="256">
        <v>0</v>
      </c>
      <c r="AQ98" s="388">
        <v>0</v>
      </c>
      <c r="AR98" s="257" t="e">
        <f t="shared" si="240"/>
        <v>#DIV/0!</v>
      </c>
      <c r="AS98" s="257">
        <v>0</v>
      </c>
      <c r="AT98" s="251">
        <f t="shared" si="251"/>
        <v>0</v>
      </c>
      <c r="AU98" s="259" t="e">
        <f t="shared" si="219"/>
        <v>#DIV/0!</v>
      </c>
      <c r="AV98" s="389">
        <f t="shared" si="254"/>
        <v>0</v>
      </c>
      <c r="AW98" s="261" t="e">
        <f t="shared" si="220"/>
        <v>#DIV/0!</v>
      </c>
      <c r="AX98" s="382">
        <v>0</v>
      </c>
      <c r="AY98" s="261">
        <v>0</v>
      </c>
      <c r="AZ98" s="382">
        <f t="shared" si="252"/>
        <v>0</v>
      </c>
      <c r="BA98" s="262" t="e">
        <f t="shared" si="221"/>
        <v>#DIV/0!</v>
      </c>
      <c r="BB98" s="382">
        <f>R98-AV98</f>
        <v>0</v>
      </c>
      <c r="BC98" s="262" t="e">
        <f t="shared" si="222"/>
        <v>#DIV/0!</v>
      </c>
      <c r="BD98" s="382">
        <f t="shared" si="255"/>
        <v>0</v>
      </c>
      <c r="BE98" s="262">
        <v>0</v>
      </c>
      <c r="BF98" s="382">
        <f t="shared" si="223"/>
        <v>0</v>
      </c>
      <c r="BG98" s="262" t="e">
        <f t="shared" si="241"/>
        <v>#DIV/0!</v>
      </c>
      <c r="BH98" s="382">
        <v>0</v>
      </c>
      <c r="BI98" s="262" t="e">
        <f t="shared" si="243"/>
        <v>#DIV/0!</v>
      </c>
      <c r="BJ98" s="260">
        <v>0</v>
      </c>
      <c r="BK98" s="391">
        <v>0</v>
      </c>
      <c r="BL98" s="389">
        <f t="shared" si="224"/>
        <v>0</v>
      </c>
      <c r="BM98" s="262" t="e">
        <f t="shared" si="244"/>
        <v>#DIV/0!</v>
      </c>
      <c r="BN98" s="389">
        <f t="shared" ref="BN98:BN99" si="258">AV98-BH98</f>
        <v>0</v>
      </c>
      <c r="BO98" s="262" t="e">
        <f t="shared" si="245"/>
        <v>#DIV/0!</v>
      </c>
      <c r="BP98" s="389">
        <v>0</v>
      </c>
      <c r="BQ98" s="262">
        <v>0</v>
      </c>
      <c r="BR98" s="382">
        <f t="shared" si="225"/>
        <v>0</v>
      </c>
      <c r="BS98" s="263" t="e">
        <f t="shared" si="246"/>
        <v>#DIV/0!</v>
      </c>
      <c r="BT98" s="176">
        <f t="shared" si="247"/>
        <v>0</v>
      </c>
      <c r="BU98" s="263" t="e">
        <f t="shared" si="242"/>
        <v>#DIV/0!</v>
      </c>
      <c r="BV98" s="389">
        <v>0</v>
      </c>
      <c r="BW98" s="263">
        <v>0</v>
      </c>
      <c r="BX98" s="392"/>
      <c r="BY98" s="271" t="e">
        <f>AD98/S98</f>
        <v>#DIV/0!</v>
      </c>
      <c r="BZ98" s="382" t="e">
        <f t="shared" si="226"/>
        <v>#REF!</v>
      </c>
      <c r="CA98" s="271" t="e">
        <f t="shared" si="199"/>
        <v>#REF!</v>
      </c>
      <c r="CB98" s="382" t="e">
        <f>#REF!-#REF!</f>
        <v>#REF!</v>
      </c>
      <c r="CC98" s="271" t="e">
        <f t="shared" si="200"/>
        <v>#REF!</v>
      </c>
      <c r="CD98" s="382"/>
      <c r="CE98" s="271" t="e">
        <f t="shared" si="239"/>
        <v>#DIV/0!</v>
      </c>
      <c r="CF98" s="382">
        <f t="shared" si="230"/>
        <v>0</v>
      </c>
      <c r="CG98" s="396"/>
      <c r="CH98" s="382">
        <f t="shared" si="227"/>
        <v>0</v>
      </c>
      <c r="CI98" s="396"/>
      <c r="CJ98" s="382">
        <f t="shared" si="228"/>
        <v>0</v>
      </c>
      <c r="CK98" s="397"/>
    </row>
    <row r="99" spans="2:89" s="3" customFormat="1" ht="22.5" hidden="1" customHeight="1">
      <c r="B99" s="395"/>
      <c r="C99" s="427" t="s">
        <v>83</v>
      </c>
      <c r="D99" s="421"/>
      <c r="E99" s="385">
        <f t="shared" si="209"/>
        <v>0</v>
      </c>
      <c r="F99" s="385"/>
      <c r="G99" s="385"/>
      <c r="H99" s="385">
        <f t="shared" si="210"/>
        <v>0</v>
      </c>
      <c r="I99" s="385">
        <f>L99-F99</f>
        <v>0</v>
      </c>
      <c r="J99" s="385"/>
      <c r="K99" s="387">
        <f t="shared" si="211"/>
        <v>0</v>
      </c>
      <c r="L99" s="251">
        <v>0</v>
      </c>
      <c r="M99" s="252">
        <v>0</v>
      </c>
      <c r="N99" s="387">
        <f t="shared" si="212"/>
        <v>0</v>
      </c>
      <c r="O99" s="387">
        <f>R99-L99</f>
        <v>0</v>
      </c>
      <c r="P99" s="387"/>
      <c r="Q99" s="385">
        <f t="shared" si="213"/>
        <v>0</v>
      </c>
      <c r="R99" s="386">
        <v>0</v>
      </c>
      <c r="S99" s="385"/>
      <c r="T99" s="387"/>
      <c r="U99" s="253" t="e">
        <f t="shared" si="232"/>
        <v>#DIV/0!</v>
      </c>
      <c r="V99" s="387"/>
      <c r="W99" s="253" t="e">
        <f t="shared" si="233"/>
        <v>#DIV/0!</v>
      </c>
      <c r="X99" s="387"/>
      <c r="Y99" s="253" t="e">
        <f t="shared" si="234"/>
        <v>#DIV/0!</v>
      </c>
      <c r="Z99" s="387">
        <f t="shared" si="214"/>
        <v>0</v>
      </c>
      <c r="AA99" s="253" t="e">
        <f t="shared" si="235"/>
        <v>#DIV/0!</v>
      </c>
      <c r="AB99" s="387">
        <f t="shared" si="257"/>
        <v>0</v>
      </c>
      <c r="AC99" s="253" t="e">
        <f t="shared" si="236"/>
        <v>#DIV/0!</v>
      </c>
      <c r="AD99" s="387"/>
      <c r="AE99" s="387">
        <f t="shared" si="215"/>
        <v>0</v>
      </c>
      <c r="AF99" s="387"/>
      <c r="AG99" s="387"/>
      <c r="AH99" s="387">
        <f t="shared" si="216"/>
        <v>0</v>
      </c>
      <c r="AI99" s="387"/>
      <c r="AJ99" s="387"/>
      <c r="AK99" s="251">
        <f t="shared" si="250"/>
        <v>0</v>
      </c>
      <c r="AL99" s="255" t="e">
        <f t="shared" si="217"/>
        <v>#DIV/0!</v>
      </c>
      <c r="AM99" s="256">
        <v>0</v>
      </c>
      <c r="AN99" s="387">
        <v>0</v>
      </c>
      <c r="AO99" s="257" t="e">
        <f t="shared" si="218"/>
        <v>#DIV/0!</v>
      </c>
      <c r="AP99" s="256">
        <v>0</v>
      </c>
      <c r="AQ99" s="388">
        <v>0</v>
      </c>
      <c r="AR99" s="257" t="e">
        <f t="shared" si="240"/>
        <v>#DIV/0!</v>
      </c>
      <c r="AS99" s="257">
        <v>0</v>
      </c>
      <c r="AT99" s="251">
        <f t="shared" si="251"/>
        <v>0</v>
      </c>
      <c r="AU99" s="259" t="e">
        <f t="shared" si="219"/>
        <v>#DIV/0!</v>
      </c>
      <c r="AV99" s="389">
        <f t="shared" si="254"/>
        <v>0</v>
      </c>
      <c r="AW99" s="261" t="e">
        <f t="shared" si="220"/>
        <v>#DIV/0!</v>
      </c>
      <c r="AX99" s="382">
        <v>0</v>
      </c>
      <c r="AY99" s="261">
        <v>0</v>
      </c>
      <c r="AZ99" s="382">
        <f t="shared" si="252"/>
        <v>0</v>
      </c>
      <c r="BA99" s="262" t="e">
        <f t="shared" si="221"/>
        <v>#DIV/0!</v>
      </c>
      <c r="BB99" s="382">
        <f>R99-AV99</f>
        <v>0</v>
      </c>
      <c r="BC99" s="262" t="e">
        <f t="shared" si="222"/>
        <v>#DIV/0!</v>
      </c>
      <c r="BD99" s="382">
        <f t="shared" si="255"/>
        <v>0</v>
      </c>
      <c r="BE99" s="262">
        <v>0</v>
      </c>
      <c r="BF99" s="382">
        <f t="shared" si="223"/>
        <v>0</v>
      </c>
      <c r="BG99" s="262" t="e">
        <f t="shared" si="241"/>
        <v>#DIV/0!</v>
      </c>
      <c r="BH99" s="382">
        <v>0</v>
      </c>
      <c r="BI99" s="262" t="e">
        <f t="shared" si="243"/>
        <v>#DIV/0!</v>
      </c>
      <c r="BJ99" s="260">
        <v>0</v>
      </c>
      <c r="BK99" s="391">
        <v>0</v>
      </c>
      <c r="BL99" s="389">
        <f t="shared" si="224"/>
        <v>0</v>
      </c>
      <c r="BM99" s="262" t="e">
        <f t="shared" si="244"/>
        <v>#DIV/0!</v>
      </c>
      <c r="BN99" s="389">
        <f t="shared" si="258"/>
        <v>0</v>
      </c>
      <c r="BO99" s="262" t="e">
        <f t="shared" si="245"/>
        <v>#DIV/0!</v>
      </c>
      <c r="BP99" s="389">
        <v>0</v>
      </c>
      <c r="BQ99" s="262">
        <v>0</v>
      </c>
      <c r="BR99" s="382">
        <f t="shared" si="225"/>
        <v>0</v>
      </c>
      <c r="BS99" s="263" t="e">
        <f t="shared" si="246"/>
        <v>#DIV/0!</v>
      </c>
      <c r="BT99" s="176">
        <f t="shared" si="247"/>
        <v>0</v>
      </c>
      <c r="BU99" s="263" t="e">
        <f t="shared" si="242"/>
        <v>#DIV/0!</v>
      </c>
      <c r="BV99" s="389">
        <v>0</v>
      </c>
      <c r="BW99" s="263">
        <v>0</v>
      </c>
      <c r="BX99" s="392"/>
      <c r="BY99" s="271" t="e">
        <f>AD99/S99</f>
        <v>#DIV/0!</v>
      </c>
      <c r="BZ99" s="382" t="e">
        <f t="shared" si="226"/>
        <v>#REF!</v>
      </c>
      <c r="CA99" s="271" t="e">
        <f t="shared" si="199"/>
        <v>#REF!</v>
      </c>
      <c r="CB99" s="382" t="e">
        <f>#REF!-#REF!</f>
        <v>#REF!</v>
      </c>
      <c r="CC99" s="271" t="e">
        <f t="shared" si="200"/>
        <v>#REF!</v>
      </c>
      <c r="CD99" s="382"/>
      <c r="CE99" s="271" t="e">
        <f t="shared" si="239"/>
        <v>#DIV/0!</v>
      </c>
      <c r="CF99" s="382">
        <f t="shared" si="230"/>
        <v>0</v>
      </c>
      <c r="CG99" s="396"/>
      <c r="CH99" s="382">
        <f t="shared" si="227"/>
        <v>0</v>
      </c>
      <c r="CI99" s="396"/>
      <c r="CJ99" s="382">
        <f t="shared" si="228"/>
        <v>0</v>
      </c>
      <c r="CK99" s="397"/>
    </row>
    <row r="100" spans="2:89" ht="81.75" hidden="1" customHeight="1">
      <c r="B100" s="275" t="s">
        <v>150</v>
      </c>
      <c r="C100" s="360" t="s">
        <v>151</v>
      </c>
      <c r="D100" s="421" t="s">
        <v>152</v>
      </c>
      <c r="E100" s="385">
        <f t="shared" si="209"/>
        <v>0</v>
      </c>
      <c r="F100" s="386">
        <f>SUM(F101:F102)</f>
        <v>0</v>
      </c>
      <c r="G100" s="386"/>
      <c r="H100" s="385">
        <f t="shared" si="210"/>
        <v>0</v>
      </c>
      <c r="I100" s="386">
        <f>SUM(I101:I102)</f>
        <v>0</v>
      </c>
      <c r="J100" s="386"/>
      <c r="K100" s="387">
        <f t="shared" si="211"/>
        <v>0</v>
      </c>
      <c r="L100" s="252">
        <f>SUM(L101:L102)</f>
        <v>0</v>
      </c>
      <c r="M100" s="252"/>
      <c r="N100" s="387">
        <f t="shared" si="212"/>
        <v>0</v>
      </c>
      <c r="O100" s="388">
        <f>SUM(O101:O102)</f>
        <v>0</v>
      </c>
      <c r="P100" s="388"/>
      <c r="Q100" s="385">
        <f t="shared" si="213"/>
        <v>0</v>
      </c>
      <c r="R100" s="386">
        <f>SUM(R101:R102)</f>
        <v>0</v>
      </c>
      <c r="S100" s="386"/>
      <c r="T100" s="388">
        <f>SUM(T101:T102)</f>
        <v>0</v>
      </c>
      <c r="U100" s="253">
        <v>0</v>
      </c>
      <c r="V100" s="388">
        <f>SUM(V101:V102)</f>
        <v>0</v>
      </c>
      <c r="W100" s="253">
        <v>0</v>
      </c>
      <c r="X100" s="388">
        <f>SUM(X101:X102)</f>
        <v>0</v>
      </c>
      <c r="Y100" s="253">
        <v>0</v>
      </c>
      <c r="Z100" s="387">
        <f t="shared" si="214"/>
        <v>0</v>
      </c>
      <c r="AA100" s="253">
        <v>0</v>
      </c>
      <c r="AB100" s="387">
        <f t="shared" si="257"/>
        <v>0</v>
      </c>
      <c r="AC100" s="254">
        <v>0</v>
      </c>
      <c r="AD100" s="388"/>
      <c r="AE100" s="387">
        <f t="shared" si="215"/>
        <v>0</v>
      </c>
      <c r="AF100" s="388">
        <f>SUM(AF101:AF102)</f>
        <v>0</v>
      </c>
      <c r="AG100" s="388"/>
      <c r="AH100" s="387">
        <f t="shared" si="216"/>
        <v>0</v>
      </c>
      <c r="AI100" s="388">
        <f>SUM(AI101:AI102)</f>
        <v>0</v>
      </c>
      <c r="AJ100" s="388"/>
      <c r="AK100" s="251">
        <f t="shared" si="250"/>
        <v>0</v>
      </c>
      <c r="AL100" s="255" t="e">
        <f t="shared" si="217"/>
        <v>#DIV/0!</v>
      </c>
      <c r="AM100" s="256" t="e">
        <f t="shared" si="237"/>
        <v>#DIV/0!</v>
      </c>
      <c r="AN100" s="388">
        <f>SUM(AN101:AN102)</f>
        <v>0</v>
      </c>
      <c r="AO100" s="257" t="e">
        <f t="shared" si="218"/>
        <v>#DIV/0!</v>
      </c>
      <c r="AP100" s="256" t="e">
        <f t="shared" si="253"/>
        <v>#DIV/0!</v>
      </c>
      <c r="AQ100" s="388">
        <v>0</v>
      </c>
      <c r="AR100" s="258" t="e">
        <f t="shared" si="240"/>
        <v>#DIV/0!</v>
      </c>
      <c r="AS100" s="257">
        <v>0</v>
      </c>
      <c r="AT100" s="251">
        <f t="shared" si="251"/>
        <v>0</v>
      </c>
      <c r="AU100" s="259" t="e">
        <f t="shared" si="219"/>
        <v>#DIV/0!</v>
      </c>
      <c r="AV100" s="389">
        <f t="shared" si="254"/>
        <v>0</v>
      </c>
      <c r="AW100" s="261" t="e">
        <f t="shared" si="220"/>
        <v>#DIV/0!</v>
      </c>
      <c r="AX100" s="389">
        <f>SUM(AX101:AX102)</f>
        <v>0</v>
      </c>
      <c r="AY100" s="261">
        <v>0</v>
      </c>
      <c r="AZ100" s="382">
        <f t="shared" si="252"/>
        <v>0</v>
      </c>
      <c r="BA100" s="262" t="e">
        <f t="shared" si="221"/>
        <v>#DIV/0!</v>
      </c>
      <c r="BB100" s="382">
        <f>F100-AV100</f>
        <v>0</v>
      </c>
      <c r="BC100" s="262" t="e">
        <f t="shared" si="222"/>
        <v>#DIV/0!</v>
      </c>
      <c r="BD100" s="382">
        <f t="shared" si="255"/>
        <v>0</v>
      </c>
      <c r="BE100" s="262" t="e">
        <f>BD100/S100</f>
        <v>#DIV/0!</v>
      </c>
      <c r="BF100" s="382">
        <f t="shared" si="223"/>
        <v>0</v>
      </c>
      <c r="BG100" s="262" t="e">
        <f t="shared" si="241"/>
        <v>#DIV/0!</v>
      </c>
      <c r="BH100" s="389">
        <f>SUM(BH101:BH102)</f>
        <v>0</v>
      </c>
      <c r="BI100" s="262" t="e">
        <f t="shared" si="243"/>
        <v>#DIV/0!</v>
      </c>
      <c r="BJ100" s="260">
        <v>0</v>
      </c>
      <c r="BK100" s="391">
        <v>0</v>
      </c>
      <c r="BL100" s="389">
        <f t="shared" si="224"/>
        <v>0</v>
      </c>
      <c r="BM100" s="262" t="e">
        <f t="shared" si="244"/>
        <v>#DIV/0!</v>
      </c>
      <c r="BN100" s="389">
        <v>0</v>
      </c>
      <c r="BO100" s="262" t="e">
        <f t="shared" si="245"/>
        <v>#DIV/0!</v>
      </c>
      <c r="BP100" s="389">
        <v>0</v>
      </c>
      <c r="BQ100" s="262">
        <v>0</v>
      </c>
      <c r="BR100" s="382">
        <f t="shared" si="225"/>
        <v>0</v>
      </c>
      <c r="BS100" s="263" t="e">
        <f t="shared" si="246"/>
        <v>#DIV/0!</v>
      </c>
      <c r="BT100" s="176">
        <f t="shared" si="247"/>
        <v>0</v>
      </c>
      <c r="BU100" s="263" t="e">
        <f t="shared" si="242"/>
        <v>#DIV/0!</v>
      </c>
      <c r="BV100" s="389">
        <v>0</v>
      </c>
      <c r="BW100" s="263">
        <v>0</v>
      </c>
      <c r="BX100" s="392"/>
      <c r="BY100" s="265">
        <v>0</v>
      </c>
      <c r="BZ100" s="382" t="e">
        <f t="shared" si="226"/>
        <v>#REF!</v>
      </c>
      <c r="CA100" s="265" t="e">
        <f t="shared" si="199"/>
        <v>#REF!</v>
      </c>
      <c r="CB100" s="178" t="e">
        <f>#REF!-#REF!</f>
        <v>#REF!</v>
      </c>
      <c r="CC100" s="265" t="e">
        <f t="shared" si="200"/>
        <v>#REF!</v>
      </c>
      <c r="CD100" s="389"/>
      <c r="CE100" s="265" t="e">
        <f t="shared" si="239"/>
        <v>#DIV/0!</v>
      </c>
      <c r="CF100" s="382" t="s">
        <v>153</v>
      </c>
      <c r="CG100" s="382" t="s">
        <v>81</v>
      </c>
      <c r="CH100" s="382">
        <f t="shared" si="227"/>
        <v>0</v>
      </c>
      <c r="CI100" s="393"/>
      <c r="CJ100" s="382">
        <f t="shared" si="228"/>
        <v>0</v>
      </c>
      <c r="CK100" s="394"/>
    </row>
    <row r="101" spans="2:89" s="446" customFormat="1" ht="15" hidden="1" customHeight="1">
      <c r="B101" s="431"/>
      <c r="C101" s="360" t="s">
        <v>82</v>
      </c>
      <c r="D101" s="432"/>
      <c r="E101" s="433">
        <f t="shared" si="209"/>
        <v>0</v>
      </c>
      <c r="F101" s="433"/>
      <c r="G101" s="433"/>
      <c r="H101" s="433">
        <f t="shared" si="210"/>
        <v>0</v>
      </c>
      <c r="I101" s="433">
        <f>L101-F101</f>
        <v>0</v>
      </c>
      <c r="J101" s="433"/>
      <c r="K101" s="434">
        <f t="shared" si="211"/>
        <v>0</v>
      </c>
      <c r="L101" s="442"/>
      <c r="M101" s="442"/>
      <c r="N101" s="387">
        <f t="shared" si="212"/>
        <v>0</v>
      </c>
      <c r="O101" s="434">
        <f>R101-L101</f>
        <v>0</v>
      </c>
      <c r="P101" s="434"/>
      <c r="Q101" s="433">
        <f t="shared" si="213"/>
        <v>0</v>
      </c>
      <c r="R101" s="433"/>
      <c r="S101" s="433"/>
      <c r="T101" s="434"/>
      <c r="U101" s="253" t="e">
        <f t="shared" si="232"/>
        <v>#DIV/0!</v>
      </c>
      <c r="V101" s="434"/>
      <c r="W101" s="253" t="e">
        <f t="shared" si="233"/>
        <v>#DIV/0!</v>
      </c>
      <c r="X101" s="387"/>
      <c r="Y101" s="253" t="e">
        <f t="shared" si="234"/>
        <v>#DIV/0!</v>
      </c>
      <c r="Z101" s="387">
        <f t="shared" si="214"/>
        <v>0</v>
      </c>
      <c r="AA101" s="253" t="e">
        <f t="shared" si="235"/>
        <v>#DIV/0!</v>
      </c>
      <c r="AB101" s="387">
        <f t="shared" si="257"/>
        <v>0</v>
      </c>
      <c r="AC101" s="254" t="e">
        <f t="shared" si="236"/>
        <v>#DIV/0!</v>
      </c>
      <c r="AD101" s="387"/>
      <c r="AE101" s="387">
        <f t="shared" si="215"/>
        <v>0</v>
      </c>
      <c r="AF101" s="387"/>
      <c r="AG101" s="387"/>
      <c r="AH101" s="387">
        <f t="shared" si="216"/>
        <v>0</v>
      </c>
      <c r="AI101" s="387"/>
      <c r="AJ101" s="387"/>
      <c r="AK101" s="251">
        <f t="shared" si="250"/>
        <v>0</v>
      </c>
      <c r="AL101" s="255" t="e">
        <f t="shared" si="217"/>
        <v>#DIV/0!</v>
      </c>
      <c r="AM101" s="256" t="e">
        <f t="shared" si="237"/>
        <v>#DIV/0!</v>
      </c>
      <c r="AN101" s="387"/>
      <c r="AO101" s="257" t="e">
        <f t="shared" si="218"/>
        <v>#DIV/0!</v>
      </c>
      <c r="AP101" s="256" t="e">
        <f t="shared" si="253"/>
        <v>#DIV/0!</v>
      </c>
      <c r="AQ101" s="388">
        <v>0</v>
      </c>
      <c r="AR101" s="258" t="e">
        <f t="shared" si="240"/>
        <v>#DIV/0!</v>
      </c>
      <c r="AS101" s="257">
        <v>0</v>
      </c>
      <c r="AT101" s="251">
        <f t="shared" si="251"/>
        <v>0</v>
      </c>
      <c r="AU101" s="259" t="e">
        <f t="shared" si="219"/>
        <v>#DIV/0!</v>
      </c>
      <c r="AV101" s="389">
        <f t="shared" si="254"/>
        <v>0</v>
      </c>
      <c r="AW101" s="261" t="e">
        <f t="shared" si="220"/>
        <v>#DIV/0!</v>
      </c>
      <c r="AX101" s="382"/>
      <c r="AY101" s="261">
        <v>0</v>
      </c>
      <c r="AZ101" s="382">
        <f t="shared" si="252"/>
        <v>0</v>
      </c>
      <c r="BA101" s="262" t="e">
        <f t="shared" si="221"/>
        <v>#DIV/0!</v>
      </c>
      <c r="BB101" s="382">
        <f>R101-AV101</f>
        <v>0</v>
      </c>
      <c r="BC101" s="262" t="e">
        <f t="shared" si="222"/>
        <v>#DIV/0!</v>
      </c>
      <c r="BD101" s="382">
        <f t="shared" si="255"/>
        <v>0</v>
      </c>
      <c r="BE101" s="443" t="e">
        <f>BD101/S101</f>
        <v>#DIV/0!</v>
      </c>
      <c r="BF101" s="436">
        <f t="shared" si="223"/>
        <v>0</v>
      </c>
      <c r="BG101" s="262" t="e">
        <f t="shared" si="241"/>
        <v>#DIV/0!</v>
      </c>
      <c r="BH101" s="436"/>
      <c r="BI101" s="262" t="e">
        <f t="shared" si="243"/>
        <v>#DIV/0!</v>
      </c>
      <c r="BJ101" s="260">
        <v>0</v>
      </c>
      <c r="BK101" s="391">
        <v>0</v>
      </c>
      <c r="BL101" s="389">
        <f t="shared" si="224"/>
        <v>0</v>
      </c>
      <c r="BM101" s="262" t="e">
        <f t="shared" si="244"/>
        <v>#DIV/0!</v>
      </c>
      <c r="BN101" s="389">
        <f t="shared" ref="BN101:BN102" si="259">AV101-BH101</f>
        <v>0</v>
      </c>
      <c r="BO101" s="262" t="e">
        <f t="shared" si="245"/>
        <v>#DIV/0!</v>
      </c>
      <c r="BP101" s="389">
        <v>0</v>
      </c>
      <c r="BQ101" s="262">
        <v>0</v>
      </c>
      <c r="BR101" s="436">
        <f t="shared" si="225"/>
        <v>0</v>
      </c>
      <c r="BS101" s="263" t="e">
        <f t="shared" si="246"/>
        <v>#DIV/0!</v>
      </c>
      <c r="BT101" s="176">
        <f t="shared" si="247"/>
        <v>0</v>
      </c>
      <c r="BU101" s="263" t="e">
        <f t="shared" si="242"/>
        <v>#DIV/0!</v>
      </c>
      <c r="BV101" s="389">
        <v>0</v>
      </c>
      <c r="BW101" s="263">
        <v>0</v>
      </c>
      <c r="BX101" s="435"/>
      <c r="BY101" s="265" t="e">
        <f>AD101/S101</f>
        <v>#DIV/0!</v>
      </c>
      <c r="BZ101" s="436" t="e">
        <f t="shared" si="226"/>
        <v>#REF!</v>
      </c>
      <c r="CA101" s="265" t="e">
        <f t="shared" si="199"/>
        <v>#REF!</v>
      </c>
      <c r="CB101" s="178" t="e">
        <f>#REF!-#REF!</f>
        <v>#REF!</v>
      </c>
      <c r="CC101" s="265" t="e">
        <f t="shared" si="200"/>
        <v>#REF!</v>
      </c>
      <c r="CD101" s="436"/>
      <c r="CE101" s="265" t="e">
        <f t="shared" si="239"/>
        <v>#DIV/0!</v>
      </c>
      <c r="CF101" s="436">
        <f t="shared" si="230"/>
        <v>0</v>
      </c>
      <c r="CG101" s="444"/>
      <c r="CH101" s="436">
        <f t="shared" si="227"/>
        <v>0</v>
      </c>
      <c r="CI101" s="444"/>
      <c r="CJ101" s="436">
        <f t="shared" si="228"/>
        <v>0</v>
      </c>
      <c r="CK101" s="445"/>
    </row>
    <row r="102" spans="2:89" s="430" customFormat="1" ht="22.5" hidden="1" customHeight="1">
      <c r="B102" s="431"/>
      <c r="C102" s="360" t="s">
        <v>83</v>
      </c>
      <c r="D102" s="437" t="s">
        <v>84</v>
      </c>
      <c r="E102" s="438">
        <f t="shared" si="209"/>
        <v>0</v>
      </c>
      <c r="F102" s="438"/>
      <c r="G102" s="438"/>
      <c r="H102" s="438">
        <f t="shared" si="210"/>
        <v>0</v>
      </c>
      <c r="I102" s="438">
        <f>L102-F102</f>
        <v>0</v>
      </c>
      <c r="J102" s="438"/>
      <c r="K102" s="439">
        <f t="shared" si="211"/>
        <v>0</v>
      </c>
      <c r="L102" s="447"/>
      <c r="M102" s="447"/>
      <c r="N102" s="387">
        <f t="shared" si="212"/>
        <v>0</v>
      </c>
      <c r="O102" s="439">
        <f>R102-L102</f>
        <v>0</v>
      </c>
      <c r="P102" s="439"/>
      <c r="Q102" s="438">
        <f t="shared" si="213"/>
        <v>0</v>
      </c>
      <c r="R102" s="438"/>
      <c r="S102" s="438"/>
      <c r="T102" s="439"/>
      <c r="U102" s="253" t="e">
        <f t="shared" si="232"/>
        <v>#DIV/0!</v>
      </c>
      <c r="V102" s="439"/>
      <c r="W102" s="253" t="e">
        <f t="shared" si="233"/>
        <v>#DIV/0!</v>
      </c>
      <c r="X102" s="387"/>
      <c r="Y102" s="253" t="e">
        <f t="shared" si="234"/>
        <v>#DIV/0!</v>
      </c>
      <c r="Z102" s="387">
        <f t="shared" si="214"/>
        <v>0</v>
      </c>
      <c r="AA102" s="253" t="e">
        <f t="shared" si="235"/>
        <v>#DIV/0!</v>
      </c>
      <c r="AB102" s="387">
        <f t="shared" si="257"/>
        <v>0</v>
      </c>
      <c r="AC102" s="254" t="e">
        <f t="shared" si="236"/>
        <v>#DIV/0!</v>
      </c>
      <c r="AD102" s="387"/>
      <c r="AE102" s="387">
        <f t="shared" si="215"/>
        <v>0</v>
      </c>
      <c r="AF102" s="387"/>
      <c r="AG102" s="387"/>
      <c r="AH102" s="387">
        <f t="shared" si="216"/>
        <v>0</v>
      </c>
      <c r="AI102" s="387"/>
      <c r="AJ102" s="387"/>
      <c r="AK102" s="251">
        <f t="shared" si="250"/>
        <v>0</v>
      </c>
      <c r="AL102" s="255" t="e">
        <f t="shared" si="217"/>
        <v>#DIV/0!</v>
      </c>
      <c r="AM102" s="256" t="e">
        <f t="shared" si="237"/>
        <v>#DIV/0!</v>
      </c>
      <c r="AN102" s="387"/>
      <c r="AO102" s="257" t="e">
        <f t="shared" si="218"/>
        <v>#DIV/0!</v>
      </c>
      <c r="AP102" s="256" t="e">
        <f t="shared" si="253"/>
        <v>#DIV/0!</v>
      </c>
      <c r="AQ102" s="388">
        <v>0</v>
      </c>
      <c r="AR102" s="258" t="e">
        <f t="shared" si="240"/>
        <v>#DIV/0!</v>
      </c>
      <c r="AS102" s="257">
        <v>0</v>
      </c>
      <c r="AT102" s="251">
        <f t="shared" si="251"/>
        <v>0</v>
      </c>
      <c r="AU102" s="259" t="e">
        <f t="shared" si="219"/>
        <v>#DIV/0!</v>
      </c>
      <c r="AV102" s="389">
        <f t="shared" si="254"/>
        <v>0</v>
      </c>
      <c r="AW102" s="261" t="e">
        <f t="shared" si="220"/>
        <v>#DIV/0!</v>
      </c>
      <c r="AX102" s="382"/>
      <c r="AY102" s="261">
        <v>0</v>
      </c>
      <c r="AZ102" s="382">
        <f t="shared" si="252"/>
        <v>0</v>
      </c>
      <c r="BA102" s="262" t="e">
        <f t="shared" si="221"/>
        <v>#DIV/0!</v>
      </c>
      <c r="BB102" s="382">
        <f>R102-AV102</f>
        <v>0</v>
      </c>
      <c r="BC102" s="262" t="e">
        <f t="shared" si="222"/>
        <v>#DIV/0!</v>
      </c>
      <c r="BD102" s="382">
        <f t="shared" si="255"/>
        <v>0</v>
      </c>
      <c r="BE102" s="443" t="e">
        <f>BD102/S102</f>
        <v>#DIV/0!</v>
      </c>
      <c r="BF102" s="178">
        <f t="shared" si="223"/>
        <v>0</v>
      </c>
      <c r="BG102" s="262" t="e">
        <f t="shared" si="241"/>
        <v>#DIV/0!</v>
      </c>
      <c r="BH102" s="178"/>
      <c r="BI102" s="262" t="e">
        <f t="shared" si="243"/>
        <v>#DIV/0!</v>
      </c>
      <c r="BJ102" s="260">
        <v>0</v>
      </c>
      <c r="BK102" s="391">
        <v>0</v>
      </c>
      <c r="BL102" s="389">
        <f t="shared" si="224"/>
        <v>0</v>
      </c>
      <c r="BM102" s="262" t="e">
        <f t="shared" si="244"/>
        <v>#DIV/0!</v>
      </c>
      <c r="BN102" s="389">
        <f t="shared" si="259"/>
        <v>0</v>
      </c>
      <c r="BO102" s="262" t="e">
        <f t="shared" si="245"/>
        <v>#DIV/0!</v>
      </c>
      <c r="BP102" s="389">
        <v>0</v>
      </c>
      <c r="BQ102" s="262">
        <v>0</v>
      </c>
      <c r="BR102" s="178">
        <f t="shared" si="225"/>
        <v>0</v>
      </c>
      <c r="BS102" s="263" t="e">
        <f t="shared" si="246"/>
        <v>#DIV/0!</v>
      </c>
      <c r="BT102" s="176">
        <f t="shared" si="247"/>
        <v>0</v>
      </c>
      <c r="BU102" s="263" t="e">
        <f t="shared" si="242"/>
        <v>#DIV/0!</v>
      </c>
      <c r="BV102" s="389">
        <v>0</v>
      </c>
      <c r="BW102" s="263">
        <v>0</v>
      </c>
      <c r="BX102" s="440"/>
      <c r="BY102" s="265" t="e">
        <f>AD102/S102</f>
        <v>#DIV/0!</v>
      </c>
      <c r="BZ102" s="178" t="e">
        <f t="shared" si="226"/>
        <v>#REF!</v>
      </c>
      <c r="CA102" s="265" t="e">
        <f t="shared" si="199"/>
        <v>#REF!</v>
      </c>
      <c r="CB102" s="178" t="e">
        <f>#REF!-#REF!</f>
        <v>#REF!</v>
      </c>
      <c r="CC102" s="265" t="e">
        <f t="shared" si="200"/>
        <v>#REF!</v>
      </c>
      <c r="CD102" s="178"/>
      <c r="CE102" s="265" t="e">
        <f t="shared" si="239"/>
        <v>#DIV/0!</v>
      </c>
      <c r="CF102" s="178">
        <f t="shared" si="230"/>
        <v>0</v>
      </c>
      <c r="CG102" s="428"/>
      <c r="CH102" s="178">
        <f t="shared" si="227"/>
        <v>0</v>
      </c>
      <c r="CI102" s="428"/>
      <c r="CJ102" s="178">
        <f t="shared" si="228"/>
        <v>0</v>
      </c>
      <c r="CK102" s="429"/>
    </row>
    <row r="103" spans="2:89" s="465" customFormat="1" ht="28.5" customHeight="1" thickBot="1">
      <c r="B103" s="448" t="s">
        <v>145</v>
      </c>
      <c r="C103" s="360" t="s">
        <v>129</v>
      </c>
      <c r="D103" s="449" t="s">
        <v>154</v>
      </c>
      <c r="E103" s="450">
        <f t="shared" si="209"/>
        <v>49898.376559999997</v>
      </c>
      <c r="F103" s="451">
        <v>46564.024579999998</v>
      </c>
      <c r="G103" s="451">
        <v>3334.3519799999999</v>
      </c>
      <c r="H103" s="450">
        <f t="shared" si="210"/>
        <v>-5592.5823499999969</v>
      </c>
      <c r="I103" s="450">
        <f>L103-F103</f>
        <v>-2258.2303699999975</v>
      </c>
      <c r="J103" s="450">
        <f>M103-G103</f>
        <v>-3334.3519799999999</v>
      </c>
      <c r="K103" s="452">
        <f t="shared" si="211"/>
        <v>44305.79421</v>
      </c>
      <c r="L103" s="322">
        <v>44305.79421</v>
      </c>
      <c r="M103" s="322">
        <v>0</v>
      </c>
      <c r="N103" s="452">
        <f>O103+P103</f>
        <v>0</v>
      </c>
      <c r="O103" s="452">
        <f>R103-L103</f>
        <v>0</v>
      </c>
      <c r="P103" s="452"/>
      <c r="Q103" s="453">
        <f>R103+S103</f>
        <v>44305.79421</v>
      </c>
      <c r="R103" s="454">
        <v>44305.79421</v>
      </c>
      <c r="S103" s="454">
        <v>0</v>
      </c>
      <c r="T103" s="455">
        <f>V103</f>
        <v>30079.102770000001</v>
      </c>
      <c r="U103" s="323">
        <f t="shared" si="232"/>
        <v>0.67889772221284372</v>
      </c>
      <c r="V103" s="455">
        <v>30079.102770000001</v>
      </c>
      <c r="W103" s="323">
        <f t="shared" si="233"/>
        <v>0.67889772221284372</v>
      </c>
      <c r="X103" s="455">
        <v>0</v>
      </c>
      <c r="Y103" s="323">
        <v>0</v>
      </c>
      <c r="Z103" s="319">
        <f t="shared" si="214"/>
        <v>14226.691439999999</v>
      </c>
      <c r="AA103" s="323">
        <f t="shared" si="235"/>
        <v>0.32110227778715622</v>
      </c>
      <c r="AB103" s="452">
        <f t="shared" si="257"/>
        <v>14226.691439999999</v>
      </c>
      <c r="AC103" s="323">
        <f t="shared" si="236"/>
        <v>0.32110227778715622</v>
      </c>
      <c r="AD103" s="455"/>
      <c r="AE103" s="452">
        <f t="shared" si="215"/>
        <v>0</v>
      </c>
      <c r="AF103" s="455"/>
      <c r="AG103" s="455"/>
      <c r="AH103" s="452">
        <f t="shared" si="216"/>
        <v>8595.2000000000007</v>
      </c>
      <c r="AI103" s="455">
        <v>8595.2000000000007</v>
      </c>
      <c r="AJ103" s="455"/>
      <c r="AK103" s="319">
        <f t="shared" si="250"/>
        <v>3897.5473200000001</v>
      </c>
      <c r="AL103" s="325">
        <f t="shared" si="217"/>
        <v>0.4534562686150409</v>
      </c>
      <c r="AM103" s="256">
        <f t="shared" si="237"/>
        <v>8.7969246223788669E-2</v>
      </c>
      <c r="AN103" s="455">
        <v>3897.5473200000001</v>
      </c>
      <c r="AO103" s="326">
        <f t="shared" si="218"/>
        <v>0.4534562686150409</v>
      </c>
      <c r="AP103" s="256">
        <f t="shared" si="253"/>
        <v>8.7969246223788669E-2</v>
      </c>
      <c r="AQ103" s="388">
        <v>0</v>
      </c>
      <c r="AR103" s="326" t="e">
        <f t="shared" si="240"/>
        <v>#DIV/0!</v>
      </c>
      <c r="AS103" s="326">
        <v>0</v>
      </c>
      <c r="AT103" s="456">
        <f t="shared" si="251"/>
        <v>26499.959559999999</v>
      </c>
      <c r="AU103" s="327">
        <f t="shared" si="219"/>
        <v>0.59811498772363392</v>
      </c>
      <c r="AV103" s="457">
        <v>26499.959559999999</v>
      </c>
      <c r="AW103" s="329">
        <f t="shared" si="220"/>
        <v>0.59811498772363392</v>
      </c>
      <c r="AX103" s="457">
        <v>0</v>
      </c>
      <c r="AY103" s="261">
        <v>0</v>
      </c>
      <c r="AZ103" s="242">
        <f t="shared" si="252"/>
        <v>17805.834650000001</v>
      </c>
      <c r="BA103" s="262">
        <f t="shared" si="221"/>
        <v>0.40188501227636614</v>
      </c>
      <c r="BB103" s="176">
        <f>L103-AV103</f>
        <v>17805.834650000001</v>
      </c>
      <c r="BC103" s="262">
        <f t="shared" si="222"/>
        <v>0.40188501227636614</v>
      </c>
      <c r="BD103" s="242">
        <v>0</v>
      </c>
      <c r="BE103" s="331">
        <v>0</v>
      </c>
      <c r="BF103" s="458">
        <f>BH103</f>
        <v>26499.959559999999</v>
      </c>
      <c r="BG103" s="262">
        <f t="shared" si="241"/>
        <v>1</v>
      </c>
      <c r="BH103" s="459">
        <v>26499.959559999999</v>
      </c>
      <c r="BI103" s="262">
        <f t="shared" si="243"/>
        <v>1</v>
      </c>
      <c r="BJ103" s="260">
        <v>0</v>
      </c>
      <c r="BK103" s="391">
        <v>0</v>
      </c>
      <c r="BL103" s="389">
        <f t="shared" si="224"/>
        <v>0</v>
      </c>
      <c r="BM103" s="262">
        <f t="shared" si="244"/>
        <v>0</v>
      </c>
      <c r="BN103" s="389">
        <f>AV103-BH103</f>
        <v>0</v>
      </c>
      <c r="BO103" s="262">
        <f t="shared" si="245"/>
        <v>0</v>
      </c>
      <c r="BP103" s="389">
        <v>0</v>
      </c>
      <c r="BQ103" s="262">
        <v>0</v>
      </c>
      <c r="BR103" s="242">
        <f t="shared" si="225"/>
        <v>17805.834650000001</v>
      </c>
      <c r="BS103" s="263">
        <f t="shared" si="246"/>
        <v>0.40188501227636614</v>
      </c>
      <c r="BT103" s="176">
        <f t="shared" si="247"/>
        <v>17805.834650000001</v>
      </c>
      <c r="BU103" s="263">
        <f t="shared" si="242"/>
        <v>0.40188501227636614</v>
      </c>
      <c r="BV103" s="389">
        <v>0</v>
      </c>
      <c r="BW103" s="263">
        <v>0</v>
      </c>
      <c r="BX103" s="460" t="s">
        <v>81</v>
      </c>
      <c r="BY103" s="265">
        <v>0</v>
      </c>
      <c r="BZ103" s="161" t="e">
        <f t="shared" si="226"/>
        <v>#REF!</v>
      </c>
      <c r="CA103" s="265" t="e">
        <f t="shared" si="199"/>
        <v>#REF!</v>
      </c>
      <c r="CB103" s="461" t="e">
        <f>#REF!-#REF!</f>
        <v>#REF!</v>
      </c>
      <c r="CC103" s="265" t="e">
        <f t="shared" si="200"/>
        <v>#REF!</v>
      </c>
      <c r="CD103" s="462"/>
      <c r="CE103" s="265" t="e">
        <f t="shared" si="239"/>
        <v>#DIV/0!</v>
      </c>
      <c r="CF103" s="166">
        <v>3</v>
      </c>
      <c r="CG103" s="166" t="s">
        <v>81</v>
      </c>
      <c r="CH103" s="166">
        <f t="shared" si="227"/>
        <v>0</v>
      </c>
      <c r="CI103" s="463"/>
      <c r="CJ103" s="166">
        <f t="shared" si="228"/>
        <v>0</v>
      </c>
      <c r="CK103" s="464"/>
    </row>
    <row r="104" spans="2:89" s="72" customFormat="1" ht="89.25" customHeight="1" thickBot="1">
      <c r="B104" s="536" t="s">
        <v>155</v>
      </c>
      <c r="C104" s="466" t="s">
        <v>156</v>
      </c>
      <c r="D104" s="467" t="s">
        <v>157</v>
      </c>
      <c r="E104" s="537">
        <f t="shared" si="209"/>
        <v>152693.5</v>
      </c>
      <c r="F104" s="537"/>
      <c r="G104" s="537">
        <v>152693.5</v>
      </c>
      <c r="H104" s="537">
        <f t="shared" si="210"/>
        <v>-11843.277050000004</v>
      </c>
      <c r="I104" s="537"/>
      <c r="J104" s="537">
        <f>M104-G104</f>
        <v>-11843.277050000004</v>
      </c>
      <c r="K104" s="75">
        <f>L104+M104</f>
        <v>140850.22295</v>
      </c>
      <c r="L104" s="75">
        <v>0</v>
      </c>
      <c r="M104" s="75">
        <f>M107+M109+M110+M112+M115+M117+M119+M120+M121</f>
        <v>140850.22295</v>
      </c>
      <c r="N104" s="75">
        <f>O104+P104</f>
        <v>0</v>
      </c>
      <c r="O104" s="75"/>
      <c r="P104" s="75">
        <f>P107+P109+P110+P112+P114+P115+P117+P118+P119+P120+P121</f>
        <v>0</v>
      </c>
      <c r="Q104" s="74">
        <f t="shared" si="213"/>
        <v>140850.22295</v>
      </c>
      <c r="R104" s="74"/>
      <c r="S104" s="74">
        <f>M104+P104</f>
        <v>140850.22295</v>
      </c>
      <c r="T104" s="75">
        <f>V104+X104</f>
        <v>92808.45912</v>
      </c>
      <c r="U104" s="76">
        <f t="shared" si="232"/>
        <v>0.65891595466587083</v>
      </c>
      <c r="V104" s="75">
        <v>0</v>
      </c>
      <c r="W104" s="76">
        <v>0</v>
      </c>
      <c r="X104" s="75">
        <f>X105+X111</f>
        <v>92808.45912</v>
      </c>
      <c r="Y104" s="76">
        <f t="shared" si="234"/>
        <v>0.65891595466587083</v>
      </c>
      <c r="Z104" s="75">
        <f t="shared" si="214"/>
        <v>48041.763829999996</v>
      </c>
      <c r="AA104" s="76">
        <f t="shared" si="235"/>
        <v>0.34108404533412917</v>
      </c>
      <c r="AB104" s="75">
        <f t="shared" si="257"/>
        <v>0</v>
      </c>
      <c r="AC104" s="76">
        <v>0</v>
      </c>
      <c r="AD104" s="75">
        <f>S104-X104</f>
        <v>48041.763829999996</v>
      </c>
      <c r="AE104" s="75">
        <f t="shared" si="215"/>
        <v>0</v>
      </c>
      <c r="AF104" s="75"/>
      <c r="AG104" s="75"/>
      <c r="AH104" s="75">
        <f t="shared" si="216"/>
        <v>73771.672079999989</v>
      </c>
      <c r="AI104" s="75">
        <v>0</v>
      </c>
      <c r="AJ104" s="75">
        <f>AQ104</f>
        <v>73771.672079999989</v>
      </c>
      <c r="AK104" s="75">
        <f>AN104+AQ104</f>
        <v>73771.672079999989</v>
      </c>
      <c r="AL104" s="468">
        <f t="shared" si="217"/>
        <v>1</v>
      </c>
      <c r="AM104" s="469">
        <f>AK104/Q104</f>
        <v>0.52375971109529573</v>
      </c>
      <c r="AN104" s="75">
        <v>0</v>
      </c>
      <c r="AO104" s="470" t="e">
        <f t="shared" si="218"/>
        <v>#DIV/0!</v>
      </c>
      <c r="AP104" s="469">
        <v>0</v>
      </c>
      <c r="AQ104" s="75">
        <f>AQ105+AQ111</f>
        <v>73771.672079999989</v>
      </c>
      <c r="AR104" s="470">
        <f t="shared" si="240"/>
        <v>1</v>
      </c>
      <c r="AS104" s="469">
        <f>AQ104/S104</f>
        <v>0.52375971109529573</v>
      </c>
      <c r="AT104" s="75">
        <f>AV104+AX104</f>
        <v>140850.22295</v>
      </c>
      <c r="AU104" s="469">
        <f t="shared" si="219"/>
        <v>1</v>
      </c>
      <c r="AV104" s="75">
        <v>0</v>
      </c>
      <c r="AW104" s="471">
        <v>0</v>
      </c>
      <c r="AX104" s="75">
        <f>AX107+AX109+AX110+AX112+AX115+AX117+AX119+AX120+AX121</f>
        <v>140850.22295</v>
      </c>
      <c r="AY104" s="471">
        <f>AX104/M104</f>
        <v>1</v>
      </c>
      <c r="AZ104" s="75">
        <f t="shared" si="252"/>
        <v>0</v>
      </c>
      <c r="BA104" s="471">
        <f t="shared" si="221"/>
        <v>0</v>
      </c>
      <c r="BB104" s="75">
        <f>F104-AV104</f>
        <v>0</v>
      </c>
      <c r="BC104" s="471">
        <v>0</v>
      </c>
      <c r="BD104" s="75">
        <f>BD107+BD109+BD110+BD112+BD115+BD117+BD119+BD120+BD121</f>
        <v>0</v>
      </c>
      <c r="BE104" s="143">
        <f t="shared" ref="BE104:BE126" si="260">BD104/M104</f>
        <v>0</v>
      </c>
      <c r="BF104" s="78">
        <f>BH104+BJ104</f>
        <v>140850.22295</v>
      </c>
      <c r="BG104" s="472">
        <f>BF104/AT104</f>
        <v>1</v>
      </c>
      <c r="BH104" s="75">
        <v>0</v>
      </c>
      <c r="BI104" s="143">
        <v>0</v>
      </c>
      <c r="BJ104" s="75">
        <f>BJ107+BJ109+BJ110+BJ112+BJ115+BJ117+BJ119+BJ120+BJ121</f>
        <v>140850.22295</v>
      </c>
      <c r="BK104" s="472">
        <f>BJ104/AX104</f>
        <v>1</v>
      </c>
      <c r="BL104" s="75">
        <f t="shared" si="224"/>
        <v>0</v>
      </c>
      <c r="BM104" s="472">
        <f t="shared" si="244"/>
        <v>0</v>
      </c>
      <c r="BN104" s="75">
        <v>0</v>
      </c>
      <c r="BO104" s="472">
        <v>0</v>
      </c>
      <c r="BP104" s="75">
        <f>BP107+BP109+BP110+BP112+BP115+BP117+BP119+BP120+BP121</f>
        <v>0</v>
      </c>
      <c r="BQ104" s="472">
        <f>BP104/AX104</f>
        <v>0</v>
      </c>
      <c r="BR104" s="75">
        <f t="shared" si="225"/>
        <v>0</v>
      </c>
      <c r="BS104" s="473">
        <f t="shared" si="246"/>
        <v>0</v>
      </c>
      <c r="BT104" s="75">
        <v>0</v>
      </c>
      <c r="BU104" s="473">
        <v>0</v>
      </c>
      <c r="BV104" s="75">
        <f>BV107+BV109+BV110+BV112+BV115+BV117+BV119+BV120+BV121</f>
        <v>0</v>
      </c>
      <c r="BW104" s="473">
        <f>BV104/M104</f>
        <v>0</v>
      </c>
      <c r="BX104" s="474"/>
      <c r="BY104" s="475">
        <f>AD104/S104</f>
        <v>0.34108404533412917</v>
      </c>
      <c r="BZ104" s="476" t="e">
        <f t="shared" si="226"/>
        <v>#REF!</v>
      </c>
      <c r="CA104" s="475" t="e">
        <f t="shared" si="199"/>
        <v>#REF!</v>
      </c>
      <c r="CB104" s="476" t="e">
        <f>#REF!-#REF!</f>
        <v>#REF!</v>
      </c>
      <c r="CC104" s="475" t="e">
        <f t="shared" si="200"/>
        <v>#REF!</v>
      </c>
      <c r="CD104" s="476" t="e">
        <f>#REF!-BX104</f>
        <v>#REF!</v>
      </c>
      <c r="CE104" s="475">
        <f>AJ104/S104</f>
        <v>0.52375971109529573</v>
      </c>
      <c r="CF104" s="476" t="s">
        <v>158</v>
      </c>
      <c r="CG104" s="476" t="s">
        <v>81</v>
      </c>
      <c r="CH104" s="476">
        <f t="shared" si="227"/>
        <v>0</v>
      </c>
      <c r="CI104" s="477"/>
      <c r="CJ104" s="476">
        <f t="shared" si="228"/>
        <v>0</v>
      </c>
      <c r="CK104" s="478"/>
    </row>
    <row r="105" spans="2:89" s="492" customFormat="1" ht="41.25" hidden="1" customHeight="1" thickBot="1">
      <c r="B105" s="479"/>
      <c r="C105" s="480" t="s">
        <v>159</v>
      </c>
      <c r="D105" s="481"/>
      <c r="E105" s="481"/>
      <c r="F105" s="481"/>
      <c r="G105" s="481"/>
      <c r="H105" s="481"/>
      <c r="I105" s="481"/>
      <c r="J105" s="481"/>
      <c r="K105" s="482">
        <f>L105+M105</f>
        <v>56267.773589999997</v>
      </c>
      <c r="L105" s="482"/>
      <c r="M105" s="482">
        <f>SUM(M106:M110)</f>
        <v>56267.773589999997</v>
      </c>
      <c r="N105" s="482">
        <f t="shared" si="212"/>
        <v>0</v>
      </c>
      <c r="O105" s="482"/>
      <c r="P105" s="482">
        <f>SUM(P106:P110)</f>
        <v>0</v>
      </c>
      <c r="Q105" s="481">
        <f t="shared" si="213"/>
        <v>56267.773589999997</v>
      </c>
      <c r="R105" s="481"/>
      <c r="S105" s="481">
        <f>SUM(S106:S110)</f>
        <v>56267.773589999997</v>
      </c>
      <c r="T105" s="482">
        <f t="shared" ref="T105:BD105" si="261">SUM(T106:T110)</f>
        <v>68658.026729999998</v>
      </c>
      <c r="U105" s="482" t="e">
        <f t="shared" si="261"/>
        <v>#DIV/0!</v>
      </c>
      <c r="V105" s="482">
        <f t="shared" si="261"/>
        <v>0</v>
      </c>
      <c r="W105" s="482">
        <f t="shared" si="261"/>
        <v>0</v>
      </c>
      <c r="X105" s="482">
        <f t="shared" si="261"/>
        <v>68658.026729999998</v>
      </c>
      <c r="Y105" s="482" t="e">
        <f t="shared" si="261"/>
        <v>#DIV/0!</v>
      </c>
      <c r="Z105" s="482">
        <f t="shared" si="261"/>
        <v>-12390.253140000001</v>
      </c>
      <c r="AA105" s="482" t="e">
        <f t="shared" si="261"/>
        <v>#DIV/0!</v>
      </c>
      <c r="AB105" s="482">
        <f t="shared" si="261"/>
        <v>0</v>
      </c>
      <c r="AC105" s="482">
        <f t="shared" si="261"/>
        <v>0</v>
      </c>
      <c r="AD105" s="482">
        <f t="shared" si="261"/>
        <v>-12390.253140000001</v>
      </c>
      <c r="AE105" s="482">
        <f t="shared" si="261"/>
        <v>0</v>
      </c>
      <c r="AF105" s="482">
        <f t="shared" si="261"/>
        <v>0</v>
      </c>
      <c r="AG105" s="482">
        <f t="shared" si="261"/>
        <v>0</v>
      </c>
      <c r="AH105" s="482">
        <f t="shared" si="261"/>
        <v>0</v>
      </c>
      <c r="AI105" s="482">
        <f t="shared" si="261"/>
        <v>0</v>
      </c>
      <c r="AJ105" s="482">
        <f t="shared" si="261"/>
        <v>0</v>
      </c>
      <c r="AK105" s="482">
        <f t="shared" si="261"/>
        <v>56267.773589999997</v>
      </c>
      <c r="AL105" s="482">
        <f t="shared" si="261"/>
        <v>0</v>
      </c>
      <c r="AM105" s="483" t="e">
        <f t="shared" si="261"/>
        <v>#DIV/0!</v>
      </c>
      <c r="AN105" s="482">
        <f t="shared" si="261"/>
        <v>0</v>
      </c>
      <c r="AO105" s="482">
        <f t="shared" si="261"/>
        <v>0</v>
      </c>
      <c r="AP105" s="483">
        <f t="shared" si="261"/>
        <v>0</v>
      </c>
      <c r="AQ105" s="482">
        <f t="shared" si="261"/>
        <v>56267.773589999997</v>
      </c>
      <c r="AR105" s="482">
        <f t="shared" si="261"/>
        <v>0</v>
      </c>
      <c r="AS105" s="484" t="e">
        <f t="shared" si="261"/>
        <v>#DIV/0!</v>
      </c>
      <c r="AT105" s="482">
        <f t="shared" si="261"/>
        <v>56267.773589999997</v>
      </c>
      <c r="AU105" s="371">
        <f t="shared" si="219"/>
        <v>1</v>
      </c>
      <c r="AV105" s="54">
        <f t="shared" si="261"/>
        <v>0</v>
      </c>
      <c r="AW105" s="373" t="e">
        <f>AV105/L105</f>
        <v>#DIV/0!</v>
      </c>
      <c r="AX105" s="54">
        <f t="shared" si="261"/>
        <v>56267.773589999997</v>
      </c>
      <c r="AY105" s="485">
        <f>AX105/M105</f>
        <v>1</v>
      </c>
      <c r="AZ105" s="54">
        <f t="shared" si="261"/>
        <v>0</v>
      </c>
      <c r="BA105" s="262">
        <f t="shared" si="221"/>
        <v>0</v>
      </c>
      <c r="BB105" s="486">
        <f t="shared" si="261"/>
        <v>0</v>
      </c>
      <c r="BC105" s="262" t="e">
        <f>BB105/L105</f>
        <v>#DIV/0!</v>
      </c>
      <c r="BD105" s="54">
        <f t="shared" si="261"/>
        <v>0</v>
      </c>
      <c r="BE105" s="487">
        <f t="shared" si="260"/>
        <v>0</v>
      </c>
      <c r="BF105" s="54">
        <f>BH105+BJ105</f>
        <v>56267.773589999997</v>
      </c>
      <c r="BG105" s="488"/>
      <c r="BH105" s="54">
        <v>0</v>
      </c>
      <c r="BI105" s="488"/>
      <c r="BJ105" s="54">
        <f>BJ106+BJ107+BJ108+BJ109+BJ110</f>
        <v>56267.773589999997</v>
      </c>
      <c r="BK105" s="488"/>
      <c r="BL105" s="54">
        <f>BN105+BP105</f>
        <v>0</v>
      </c>
      <c r="BM105" s="488"/>
      <c r="BN105" s="54">
        <v>0</v>
      </c>
      <c r="BO105" s="488"/>
      <c r="BP105" s="54">
        <f>BP106+BP107+BP108+BP109+BP110</f>
        <v>0</v>
      </c>
      <c r="BQ105" s="472">
        <f t="shared" ref="BQ105:BQ126" si="262">BP105/AX105</f>
        <v>0</v>
      </c>
      <c r="BR105" s="54">
        <f>BT105+BV105</f>
        <v>0</v>
      </c>
      <c r="BS105" s="263">
        <f t="shared" si="246"/>
        <v>0</v>
      </c>
      <c r="BT105" s="54">
        <v>0</v>
      </c>
      <c r="BU105" s="54"/>
      <c r="BV105" s="54">
        <f>BV106+BV107+BV108+BV109+BV110</f>
        <v>0</v>
      </c>
      <c r="BW105" s="263">
        <f t="shared" ref="BW105:BW126" si="263">BV105/M105</f>
        <v>0</v>
      </c>
      <c r="BX105" s="489"/>
      <c r="BY105" s="265"/>
      <c r="BZ105" s="161"/>
      <c r="CA105" s="265"/>
      <c r="CB105" s="161"/>
      <c r="CC105" s="265"/>
      <c r="CD105" s="161"/>
      <c r="CE105" s="265"/>
      <c r="CF105" s="161"/>
      <c r="CG105" s="161"/>
      <c r="CH105" s="161"/>
      <c r="CI105" s="490"/>
      <c r="CJ105" s="161"/>
      <c r="CK105" s="491"/>
    </row>
    <row r="106" spans="2:89" s="42" customFormat="1" ht="60" hidden="1" customHeight="1">
      <c r="B106" s="493" t="s">
        <v>160</v>
      </c>
      <c r="C106" s="423" t="s">
        <v>161</v>
      </c>
      <c r="D106" s="494"/>
      <c r="E106" s="249"/>
      <c r="F106" s="249"/>
      <c r="G106" s="249"/>
      <c r="H106" s="249"/>
      <c r="I106" s="306"/>
      <c r="J106" s="306"/>
      <c r="K106" s="251">
        <f t="shared" si="211"/>
        <v>0</v>
      </c>
      <c r="L106" s="251">
        <v>0</v>
      </c>
      <c r="M106" s="251">
        <v>0</v>
      </c>
      <c r="N106" s="251">
        <f t="shared" si="212"/>
        <v>0</v>
      </c>
      <c r="O106" s="447"/>
      <c r="P106" s="251">
        <f>S106-M106</f>
        <v>0</v>
      </c>
      <c r="Q106" s="249">
        <f t="shared" si="213"/>
        <v>0</v>
      </c>
      <c r="R106" s="249"/>
      <c r="S106" s="249">
        <v>0</v>
      </c>
      <c r="T106" s="251">
        <f t="shared" ref="T106:T115" si="264">V106+X106</f>
        <v>5729.0403200000001</v>
      </c>
      <c r="U106" s="253" t="e">
        <f t="shared" si="232"/>
        <v>#DIV/0!</v>
      </c>
      <c r="V106" s="251"/>
      <c r="W106" s="253"/>
      <c r="X106" s="251">
        <v>5729.0403200000001</v>
      </c>
      <c r="Y106" s="253" t="e">
        <f t="shared" si="234"/>
        <v>#DIV/0!</v>
      </c>
      <c r="Z106" s="251">
        <f t="shared" ref="Z106:Z122" si="265">AB106+AD106</f>
        <v>-5729.0403200000001</v>
      </c>
      <c r="AA106" s="253" t="e">
        <f t="shared" si="235"/>
        <v>#DIV/0!</v>
      </c>
      <c r="AB106" s="251"/>
      <c r="AC106" s="254"/>
      <c r="AD106" s="251">
        <f t="shared" ref="AD106:AD115" si="266">S106-X106</f>
        <v>-5729.0403200000001</v>
      </c>
      <c r="AE106" s="251"/>
      <c r="AF106" s="251"/>
      <c r="AG106" s="251"/>
      <c r="AH106" s="251"/>
      <c r="AI106" s="251"/>
      <c r="AJ106" s="251"/>
      <c r="AK106" s="251">
        <f>AN106+AQ106</f>
        <v>0</v>
      </c>
      <c r="AL106" s="255"/>
      <c r="AM106" s="495" t="e">
        <f>AK106/Q106</f>
        <v>#DIV/0!</v>
      </c>
      <c r="AN106" s="496">
        <v>0</v>
      </c>
      <c r="AO106" s="497"/>
      <c r="AP106" s="256">
        <v>0</v>
      </c>
      <c r="AQ106" s="251">
        <f>AX106</f>
        <v>0</v>
      </c>
      <c r="AR106" s="258"/>
      <c r="AS106" s="256" t="e">
        <f>AQ106/M106</f>
        <v>#DIV/0!</v>
      </c>
      <c r="AT106" s="251">
        <f>AV106+AX106</f>
        <v>0</v>
      </c>
      <c r="AU106" s="259" t="e">
        <f t="shared" si="219"/>
        <v>#DIV/0!</v>
      </c>
      <c r="AV106" s="176">
        <v>0</v>
      </c>
      <c r="AW106" s="261" t="e">
        <f>AV106/L106</f>
        <v>#DIV/0!</v>
      </c>
      <c r="AX106" s="176">
        <v>0</v>
      </c>
      <c r="AY106" s="498">
        <v>0</v>
      </c>
      <c r="AZ106" s="176">
        <f t="shared" ref="AZ106:AZ122" si="267">BB106+BD106</f>
        <v>0</v>
      </c>
      <c r="BA106" s="262" t="e">
        <f t="shared" si="221"/>
        <v>#DIV/0!</v>
      </c>
      <c r="BB106" s="176"/>
      <c r="BC106" s="262" t="e">
        <f>BB106/L106</f>
        <v>#DIV/0!</v>
      </c>
      <c r="BD106" s="176">
        <f>S106-AX106</f>
        <v>0</v>
      </c>
      <c r="BE106" s="499" t="e">
        <f t="shared" si="260"/>
        <v>#DIV/0!</v>
      </c>
      <c r="BF106" s="176">
        <f>BJ106</f>
        <v>0</v>
      </c>
      <c r="BG106" s="500"/>
      <c r="BH106" s="176">
        <v>0</v>
      </c>
      <c r="BI106" s="500"/>
      <c r="BJ106" s="176">
        <v>0</v>
      </c>
      <c r="BK106" s="500"/>
      <c r="BL106" s="176">
        <v>0</v>
      </c>
      <c r="BM106" s="500"/>
      <c r="BN106" s="176">
        <v>0</v>
      </c>
      <c r="BO106" s="500"/>
      <c r="BP106" s="176">
        <v>0</v>
      </c>
      <c r="BQ106" s="487" t="e">
        <f t="shared" si="262"/>
        <v>#DIV/0!</v>
      </c>
      <c r="BR106" s="176">
        <v>0</v>
      </c>
      <c r="BS106" s="263" t="e">
        <f t="shared" si="246"/>
        <v>#DIV/0!</v>
      </c>
      <c r="BT106" s="176">
        <v>0</v>
      </c>
      <c r="BU106" s="176"/>
      <c r="BV106" s="176">
        <v>0</v>
      </c>
      <c r="BW106" s="263" t="e">
        <f t="shared" si="263"/>
        <v>#DIV/0!</v>
      </c>
      <c r="BX106" s="303"/>
      <c r="BY106" s="265"/>
      <c r="BZ106" s="176"/>
      <c r="CA106" s="265"/>
      <c r="CB106" s="277"/>
      <c r="CC106" s="265"/>
      <c r="CD106" s="176"/>
      <c r="CE106" s="265"/>
      <c r="CF106" s="176" t="s">
        <v>162</v>
      </c>
      <c r="CG106" s="176"/>
      <c r="CH106" s="176"/>
      <c r="CI106" s="272"/>
      <c r="CJ106" s="176"/>
      <c r="CK106" s="273"/>
    </row>
    <row r="107" spans="2:89" s="42" customFormat="1" ht="70.5" hidden="1" customHeight="1">
      <c r="B107" s="493" t="s">
        <v>160</v>
      </c>
      <c r="C107" s="423" t="s">
        <v>163</v>
      </c>
      <c r="D107" s="494"/>
      <c r="E107" s="249"/>
      <c r="F107" s="249"/>
      <c r="G107" s="249"/>
      <c r="H107" s="249"/>
      <c r="I107" s="306"/>
      <c r="J107" s="306"/>
      <c r="K107" s="251">
        <f t="shared" si="211"/>
        <v>15072.14359</v>
      </c>
      <c r="L107" s="251">
        <v>0</v>
      </c>
      <c r="M107" s="251">
        <f>S107</f>
        <v>15072.14359</v>
      </c>
      <c r="N107" s="251">
        <f t="shared" si="212"/>
        <v>0</v>
      </c>
      <c r="O107" s="447"/>
      <c r="P107" s="251">
        <f t="shared" ref="P107:P116" si="268">S107-M107</f>
        <v>0</v>
      </c>
      <c r="Q107" s="249">
        <f t="shared" si="213"/>
        <v>15072.14359</v>
      </c>
      <c r="R107" s="249"/>
      <c r="S107" s="249">
        <v>15072.14359</v>
      </c>
      <c r="T107" s="251">
        <f t="shared" si="264"/>
        <v>23683.85641</v>
      </c>
      <c r="U107" s="253">
        <f t="shared" si="232"/>
        <v>1.5713661609297342</v>
      </c>
      <c r="V107" s="251"/>
      <c r="W107" s="253"/>
      <c r="X107" s="251">
        <f>18015.29589+5668.56052</f>
        <v>23683.85641</v>
      </c>
      <c r="Y107" s="253">
        <f t="shared" si="234"/>
        <v>1.5713661609297342</v>
      </c>
      <c r="Z107" s="251">
        <f t="shared" si="265"/>
        <v>-8611.7128200000006</v>
      </c>
      <c r="AA107" s="253">
        <f t="shared" si="235"/>
        <v>-0.57136616092973413</v>
      </c>
      <c r="AB107" s="251"/>
      <c r="AC107" s="254"/>
      <c r="AD107" s="251">
        <f t="shared" si="266"/>
        <v>-8611.7128200000006</v>
      </c>
      <c r="AE107" s="251"/>
      <c r="AF107" s="251"/>
      <c r="AG107" s="251"/>
      <c r="AH107" s="251"/>
      <c r="AI107" s="251"/>
      <c r="AJ107" s="251"/>
      <c r="AK107" s="251">
        <f t="shared" ref="AK107:AK110" si="269">AN107+AQ107</f>
        <v>15072.14359</v>
      </c>
      <c r="AL107" s="255"/>
      <c r="AM107" s="495">
        <f t="shared" ref="AM107:AM121" si="270">AK107/Q107</f>
        <v>1</v>
      </c>
      <c r="AN107" s="496">
        <v>0</v>
      </c>
      <c r="AO107" s="497"/>
      <c r="AP107" s="256">
        <v>0</v>
      </c>
      <c r="AQ107" s="251">
        <f t="shared" ref="AQ107:AQ110" si="271">AX107</f>
        <v>15072.14359</v>
      </c>
      <c r="AR107" s="258"/>
      <c r="AS107" s="256">
        <f t="shared" ref="AS107:AS121" si="272">AQ107/M107</f>
        <v>1</v>
      </c>
      <c r="AT107" s="251">
        <f t="shared" ref="AT107:AT121" si="273">AV107+AX107</f>
        <v>15072.14359</v>
      </c>
      <c r="AU107" s="259">
        <f t="shared" si="219"/>
        <v>1</v>
      </c>
      <c r="AV107" s="176">
        <v>0</v>
      </c>
      <c r="AW107" s="261">
        <v>0</v>
      </c>
      <c r="AX107" s="251">
        <f>M107</f>
        <v>15072.14359</v>
      </c>
      <c r="AY107" s="498">
        <f>AX107/M107</f>
        <v>1</v>
      </c>
      <c r="AZ107" s="176">
        <f>BB107+BD107</f>
        <v>0</v>
      </c>
      <c r="BA107" s="262">
        <f t="shared" si="221"/>
        <v>0</v>
      </c>
      <c r="BB107" s="176">
        <v>0</v>
      </c>
      <c r="BC107" s="262">
        <v>0</v>
      </c>
      <c r="BD107" s="176">
        <f>M107-AX107</f>
        <v>0</v>
      </c>
      <c r="BE107" s="262">
        <f t="shared" si="260"/>
        <v>0</v>
      </c>
      <c r="BF107" s="176">
        <f t="shared" ref="BF107:BF121" si="274">BJ107</f>
        <v>15072.14359</v>
      </c>
      <c r="BG107" s="498">
        <f>BF107/AT107</f>
        <v>1</v>
      </c>
      <c r="BH107" s="176">
        <v>0</v>
      </c>
      <c r="BI107" s="498">
        <v>0</v>
      </c>
      <c r="BJ107" s="176">
        <f>AX107</f>
        <v>15072.14359</v>
      </c>
      <c r="BK107" s="498">
        <f>BJ107/AX107</f>
        <v>1</v>
      </c>
      <c r="BL107" s="176">
        <f>BN107+BP107</f>
        <v>0</v>
      </c>
      <c r="BM107" s="500">
        <f>BL107/AT107</f>
        <v>0</v>
      </c>
      <c r="BN107" s="176">
        <v>0</v>
      </c>
      <c r="BO107" s="498">
        <v>0</v>
      </c>
      <c r="BP107" s="176">
        <f>AX107-BJ107</f>
        <v>0</v>
      </c>
      <c r="BQ107" s="485">
        <f t="shared" si="262"/>
        <v>0</v>
      </c>
      <c r="BR107" s="176">
        <f>BT107+BV107</f>
        <v>0</v>
      </c>
      <c r="BS107" s="263">
        <f t="shared" si="246"/>
        <v>0</v>
      </c>
      <c r="BT107" s="176">
        <v>0</v>
      </c>
      <c r="BU107" s="259">
        <v>0</v>
      </c>
      <c r="BV107" s="176">
        <f>M107-BJ107</f>
        <v>0</v>
      </c>
      <c r="BW107" s="263">
        <f t="shared" si="263"/>
        <v>0</v>
      </c>
      <c r="BX107" s="423" t="s">
        <v>164</v>
      </c>
      <c r="BY107" s="265"/>
      <c r="BZ107" s="176"/>
      <c r="CA107" s="265"/>
      <c r="CB107" s="277"/>
      <c r="CC107" s="265"/>
      <c r="CD107" s="176"/>
      <c r="CE107" s="265"/>
      <c r="CF107" s="176" t="s">
        <v>165</v>
      </c>
      <c r="CG107" s="176"/>
      <c r="CH107" s="176"/>
      <c r="CI107" s="272"/>
      <c r="CJ107" s="176"/>
      <c r="CK107" s="273"/>
    </row>
    <row r="108" spans="2:89" s="42" customFormat="1" ht="44.25" hidden="1" customHeight="1">
      <c r="B108" s="493" t="s">
        <v>166</v>
      </c>
      <c r="C108" s="423" t="s">
        <v>167</v>
      </c>
      <c r="D108" s="494"/>
      <c r="E108" s="249"/>
      <c r="F108" s="249"/>
      <c r="G108" s="249"/>
      <c r="H108" s="249"/>
      <c r="I108" s="306"/>
      <c r="J108" s="306"/>
      <c r="K108" s="251">
        <f t="shared" si="211"/>
        <v>0</v>
      </c>
      <c r="L108" s="251">
        <v>0</v>
      </c>
      <c r="M108" s="251">
        <v>0</v>
      </c>
      <c r="N108" s="251">
        <f t="shared" si="212"/>
        <v>0</v>
      </c>
      <c r="O108" s="447"/>
      <c r="P108" s="251">
        <f t="shared" si="268"/>
        <v>0</v>
      </c>
      <c r="Q108" s="249">
        <f t="shared" si="213"/>
        <v>0</v>
      </c>
      <c r="R108" s="249"/>
      <c r="S108" s="249">
        <f t="shared" ref="S108:S110" si="275">M108</f>
        <v>0</v>
      </c>
      <c r="T108" s="251">
        <f t="shared" si="264"/>
        <v>0</v>
      </c>
      <c r="U108" s="253" t="e">
        <f t="shared" si="232"/>
        <v>#DIV/0!</v>
      </c>
      <c r="V108" s="251"/>
      <c r="W108" s="253"/>
      <c r="X108" s="251">
        <f>S108</f>
        <v>0</v>
      </c>
      <c r="Y108" s="253" t="e">
        <f t="shared" si="234"/>
        <v>#DIV/0!</v>
      </c>
      <c r="Z108" s="251">
        <f t="shared" si="265"/>
        <v>0</v>
      </c>
      <c r="AA108" s="253" t="e">
        <f t="shared" si="235"/>
        <v>#DIV/0!</v>
      </c>
      <c r="AB108" s="251"/>
      <c r="AC108" s="254"/>
      <c r="AD108" s="251">
        <f t="shared" si="266"/>
        <v>0</v>
      </c>
      <c r="AE108" s="251"/>
      <c r="AF108" s="251"/>
      <c r="AG108" s="251"/>
      <c r="AH108" s="251"/>
      <c r="AI108" s="251"/>
      <c r="AJ108" s="251"/>
      <c r="AK108" s="251">
        <f t="shared" si="269"/>
        <v>0</v>
      </c>
      <c r="AL108" s="255"/>
      <c r="AM108" s="495">
        <v>0</v>
      </c>
      <c r="AN108" s="496">
        <v>0</v>
      </c>
      <c r="AO108" s="497"/>
      <c r="AP108" s="256">
        <v>0</v>
      </c>
      <c r="AQ108" s="251">
        <f t="shared" si="271"/>
        <v>0</v>
      </c>
      <c r="AR108" s="258"/>
      <c r="AS108" s="256">
        <v>0</v>
      </c>
      <c r="AT108" s="251">
        <f t="shared" si="273"/>
        <v>0</v>
      </c>
      <c r="AU108" s="259" t="e">
        <f t="shared" si="219"/>
        <v>#DIV/0!</v>
      </c>
      <c r="AV108" s="176">
        <v>0</v>
      </c>
      <c r="AW108" s="261" t="e">
        <f>AV108/L108</f>
        <v>#DIV/0!</v>
      </c>
      <c r="AX108" s="176">
        <v>0</v>
      </c>
      <c r="AY108" s="498">
        <v>0</v>
      </c>
      <c r="AZ108" s="176">
        <f t="shared" ref="AZ108:AZ121" si="276">BB108+BD108</f>
        <v>0</v>
      </c>
      <c r="BA108" s="262" t="e">
        <f t="shared" si="221"/>
        <v>#DIV/0!</v>
      </c>
      <c r="BB108" s="176"/>
      <c r="BC108" s="262" t="e">
        <f>BB108/L108</f>
        <v>#DIV/0!</v>
      </c>
      <c r="BD108" s="176">
        <f>M108-AX108</f>
        <v>0</v>
      </c>
      <c r="BE108" s="262" t="e">
        <f t="shared" si="260"/>
        <v>#DIV/0!</v>
      </c>
      <c r="BF108" s="176">
        <f t="shared" si="274"/>
        <v>0</v>
      </c>
      <c r="BG108" s="498" t="e">
        <f t="shared" ref="BG108:BG121" si="277">BF108/AT108</f>
        <v>#DIV/0!</v>
      </c>
      <c r="BH108" s="176">
        <v>0</v>
      </c>
      <c r="BI108" s="498">
        <v>0</v>
      </c>
      <c r="BJ108" s="176">
        <f>S108</f>
        <v>0</v>
      </c>
      <c r="BK108" s="498" t="e">
        <f t="shared" ref="BK108:BK121" si="278">BJ108/AX108</f>
        <v>#DIV/0!</v>
      </c>
      <c r="BL108" s="176">
        <f t="shared" ref="BL108:BL122" si="279">BN108+BP108</f>
        <v>0</v>
      </c>
      <c r="BM108" s="500" t="e">
        <f t="shared" ref="BM108:BM126" si="280">BL108/AT108</f>
        <v>#DIV/0!</v>
      </c>
      <c r="BN108" s="176">
        <v>0</v>
      </c>
      <c r="BO108" s="498">
        <v>0</v>
      </c>
      <c r="BP108" s="176">
        <f t="shared" ref="BP108:BP121" si="281">AX108-BJ108</f>
        <v>0</v>
      </c>
      <c r="BQ108" s="498" t="e">
        <f t="shared" si="262"/>
        <v>#DIV/0!</v>
      </c>
      <c r="BR108" s="176">
        <f t="shared" ref="BR108:BR122" si="282">BT108+BV108</f>
        <v>0</v>
      </c>
      <c r="BS108" s="263" t="e">
        <f t="shared" si="246"/>
        <v>#DIV/0!</v>
      </c>
      <c r="BT108" s="176">
        <v>0</v>
      </c>
      <c r="BU108" s="259">
        <v>0</v>
      </c>
      <c r="BV108" s="176">
        <f t="shared" ref="BV108:BV121" si="283">M108-BJ108</f>
        <v>0</v>
      </c>
      <c r="BW108" s="263" t="e">
        <f t="shared" si="263"/>
        <v>#DIV/0!</v>
      </c>
      <c r="BX108" s="303"/>
      <c r="BY108" s="265"/>
      <c r="BZ108" s="176"/>
      <c r="CA108" s="265"/>
      <c r="CB108" s="277"/>
      <c r="CC108" s="265"/>
      <c r="CD108" s="176"/>
      <c r="CE108" s="265"/>
      <c r="CF108" s="176" t="s">
        <v>168</v>
      </c>
      <c r="CG108" s="176"/>
      <c r="CH108" s="176"/>
      <c r="CI108" s="272"/>
      <c r="CJ108" s="176"/>
      <c r="CK108" s="273"/>
    </row>
    <row r="109" spans="2:89" s="42" customFormat="1" ht="58.5" hidden="1" customHeight="1">
      <c r="B109" s="493" t="s">
        <v>169</v>
      </c>
      <c r="C109" s="423" t="s">
        <v>170</v>
      </c>
      <c r="D109" s="494"/>
      <c r="E109" s="249"/>
      <c r="F109" s="249"/>
      <c r="G109" s="249"/>
      <c r="H109" s="249"/>
      <c r="I109" s="306"/>
      <c r="J109" s="306"/>
      <c r="K109" s="251">
        <f t="shared" si="211"/>
        <v>1950.5</v>
      </c>
      <c r="L109" s="251">
        <v>0</v>
      </c>
      <c r="M109" s="251">
        <f>S109</f>
        <v>1950.5</v>
      </c>
      <c r="N109" s="251">
        <f t="shared" si="212"/>
        <v>0</v>
      </c>
      <c r="O109" s="447"/>
      <c r="P109" s="251">
        <f t="shared" si="268"/>
        <v>0</v>
      </c>
      <c r="Q109" s="249">
        <f t="shared" si="213"/>
        <v>1950.5</v>
      </c>
      <c r="R109" s="249"/>
      <c r="S109" s="249">
        <v>1950.5</v>
      </c>
      <c r="T109" s="251">
        <f t="shared" si="264"/>
        <v>0</v>
      </c>
      <c r="U109" s="253">
        <f t="shared" si="232"/>
        <v>0</v>
      </c>
      <c r="V109" s="251"/>
      <c r="W109" s="253"/>
      <c r="X109" s="251">
        <v>0</v>
      </c>
      <c r="Y109" s="253">
        <f t="shared" si="234"/>
        <v>0</v>
      </c>
      <c r="Z109" s="251">
        <f t="shared" si="265"/>
        <v>1950.5</v>
      </c>
      <c r="AA109" s="253">
        <f t="shared" si="235"/>
        <v>1</v>
      </c>
      <c r="AB109" s="251"/>
      <c r="AC109" s="254"/>
      <c r="AD109" s="251">
        <f t="shared" si="266"/>
        <v>1950.5</v>
      </c>
      <c r="AE109" s="251"/>
      <c r="AF109" s="251"/>
      <c r="AG109" s="251"/>
      <c r="AH109" s="251"/>
      <c r="AI109" s="251"/>
      <c r="AJ109" s="251"/>
      <c r="AK109" s="251">
        <f t="shared" si="269"/>
        <v>1950.5</v>
      </c>
      <c r="AL109" s="255"/>
      <c r="AM109" s="495">
        <f t="shared" si="270"/>
        <v>1</v>
      </c>
      <c r="AN109" s="496">
        <v>0</v>
      </c>
      <c r="AO109" s="497"/>
      <c r="AP109" s="256">
        <v>0</v>
      </c>
      <c r="AQ109" s="251">
        <f t="shared" si="271"/>
        <v>1950.5</v>
      </c>
      <c r="AR109" s="258"/>
      <c r="AS109" s="256">
        <f t="shared" si="272"/>
        <v>1</v>
      </c>
      <c r="AT109" s="251">
        <f t="shared" si="273"/>
        <v>1950.5</v>
      </c>
      <c r="AU109" s="259">
        <f t="shared" si="219"/>
        <v>1</v>
      </c>
      <c r="AV109" s="176">
        <v>0</v>
      </c>
      <c r="AW109" s="261">
        <v>0</v>
      </c>
      <c r="AX109" s="176">
        <f>M109</f>
        <v>1950.5</v>
      </c>
      <c r="AY109" s="498">
        <f t="shared" ref="AY109:AY126" si="284">AX109/M109</f>
        <v>1</v>
      </c>
      <c r="AZ109" s="176">
        <f t="shared" si="276"/>
        <v>0</v>
      </c>
      <c r="BA109" s="262">
        <f t="shared" si="221"/>
        <v>0</v>
      </c>
      <c r="BB109" s="176">
        <v>0</v>
      </c>
      <c r="BC109" s="262">
        <v>0</v>
      </c>
      <c r="BD109" s="176">
        <f>M109-AX109</f>
        <v>0</v>
      </c>
      <c r="BE109" s="262">
        <f t="shared" si="260"/>
        <v>0</v>
      </c>
      <c r="BF109" s="176">
        <f t="shared" si="274"/>
        <v>1950.5</v>
      </c>
      <c r="BG109" s="498">
        <v>0</v>
      </c>
      <c r="BH109" s="176">
        <v>0</v>
      </c>
      <c r="BI109" s="498">
        <v>0</v>
      </c>
      <c r="BJ109" s="176">
        <f>AX109</f>
        <v>1950.5</v>
      </c>
      <c r="BK109" s="498">
        <v>0</v>
      </c>
      <c r="BL109" s="176">
        <f t="shared" si="279"/>
        <v>0</v>
      </c>
      <c r="BM109" s="500">
        <v>0</v>
      </c>
      <c r="BN109" s="176">
        <v>0</v>
      </c>
      <c r="BO109" s="498">
        <v>0</v>
      </c>
      <c r="BP109" s="176">
        <f t="shared" si="281"/>
        <v>0</v>
      </c>
      <c r="BQ109" s="498">
        <v>0</v>
      </c>
      <c r="BR109" s="176">
        <f t="shared" si="282"/>
        <v>0</v>
      </c>
      <c r="BS109" s="263">
        <f t="shared" si="246"/>
        <v>0</v>
      </c>
      <c r="BT109" s="176">
        <v>0</v>
      </c>
      <c r="BU109" s="259">
        <v>0</v>
      </c>
      <c r="BV109" s="176">
        <f t="shared" si="283"/>
        <v>0</v>
      </c>
      <c r="BW109" s="263">
        <f t="shared" si="263"/>
        <v>0</v>
      </c>
      <c r="BX109" s="423" t="s">
        <v>171</v>
      </c>
      <c r="BY109" s="265"/>
      <c r="BZ109" s="176"/>
      <c r="CA109" s="265"/>
      <c r="CB109" s="277"/>
      <c r="CC109" s="265"/>
      <c r="CD109" s="176"/>
      <c r="CE109" s="265"/>
      <c r="CF109" s="176"/>
      <c r="CG109" s="176"/>
      <c r="CH109" s="176"/>
      <c r="CI109" s="272"/>
      <c r="CJ109" s="176"/>
      <c r="CK109" s="273"/>
    </row>
    <row r="110" spans="2:89" s="42" customFormat="1" ht="74.25" hidden="1" customHeight="1">
      <c r="B110" s="493" t="s">
        <v>166</v>
      </c>
      <c r="C110" s="423" t="s">
        <v>172</v>
      </c>
      <c r="D110" s="494"/>
      <c r="E110" s="249"/>
      <c r="F110" s="249"/>
      <c r="G110" s="249"/>
      <c r="H110" s="249"/>
      <c r="I110" s="306"/>
      <c r="J110" s="306"/>
      <c r="K110" s="251">
        <f t="shared" si="211"/>
        <v>39245.129999999997</v>
      </c>
      <c r="L110" s="251">
        <v>0</v>
      </c>
      <c r="M110" s="251">
        <v>39245.129999999997</v>
      </c>
      <c r="N110" s="251">
        <f t="shared" si="212"/>
        <v>0</v>
      </c>
      <c r="O110" s="447"/>
      <c r="P110" s="251">
        <f t="shared" si="268"/>
        <v>0</v>
      </c>
      <c r="Q110" s="249">
        <f t="shared" si="213"/>
        <v>39245.129999999997</v>
      </c>
      <c r="R110" s="249"/>
      <c r="S110" s="249">
        <f t="shared" si="275"/>
        <v>39245.129999999997</v>
      </c>
      <c r="T110" s="251">
        <f t="shared" si="264"/>
        <v>39245.129999999997</v>
      </c>
      <c r="U110" s="253">
        <f t="shared" si="232"/>
        <v>1</v>
      </c>
      <c r="V110" s="251"/>
      <c r="W110" s="253"/>
      <c r="X110" s="251">
        <f t="shared" ref="X110:X113" si="285">S110</f>
        <v>39245.129999999997</v>
      </c>
      <c r="Y110" s="253">
        <f t="shared" si="234"/>
        <v>1</v>
      </c>
      <c r="Z110" s="251">
        <f t="shared" si="265"/>
        <v>0</v>
      </c>
      <c r="AA110" s="253">
        <f t="shared" si="235"/>
        <v>0</v>
      </c>
      <c r="AB110" s="251"/>
      <c r="AC110" s="254"/>
      <c r="AD110" s="251">
        <f t="shared" si="266"/>
        <v>0</v>
      </c>
      <c r="AE110" s="251"/>
      <c r="AF110" s="251"/>
      <c r="AG110" s="251"/>
      <c r="AH110" s="251"/>
      <c r="AI110" s="251"/>
      <c r="AJ110" s="251"/>
      <c r="AK110" s="251">
        <f t="shared" si="269"/>
        <v>39245.129999999997</v>
      </c>
      <c r="AL110" s="255"/>
      <c r="AM110" s="495">
        <f t="shared" si="270"/>
        <v>1</v>
      </c>
      <c r="AN110" s="496">
        <v>0</v>
      </c>
      <c r="AO110" s="497"/>
      <c r="AP110" s="256">
        <v>0</v>
      </c>
      <c r="AQ110" s="251">
        <f t="shared" si="271"/>
        <v>39245.129999999997</v>
      </c>
      <c r="AR110" s="258"/>
      <c r="AS110" s="256">
        <f t="shared" si="272"/>
        <v>1</v>
      </c>
      <c r="AT110" s="251">
        <f t="shared" si="273"/>
        <v>39245.129999999997</v>
      </c>
      <c r="AU110" s="259">
        <f t="shared" si="219"/>
        <v>1</v>
      </c>
      <c r="AV110" s="176">
        <v>0</v>
      </c>
      <c r="AW110" s="261">
        <v>0</v>
      </c>
      <c r="AX110" s="176">
        <f>M110</f>
        <v>39245.129999999997</v>
      </c>
      <c r="AY110" s="498">
        <f t="shared" si="284"/>
        <v>1</v>
      </c>
      <c r="AZ110" s="176">
        <f t="shared" si="276"/>
        <v>0</v>
      </c>
      <c r="BA110" s="262">
        <f t="shared" si="221"/>
        <v>0</v>
      </c>
      <c r="BB110" s="176">
        <v>0</v>
      </c>
      <c r="BC110" s="262">
        <v>0</v>
      </c>
      <c r="BD110" s="176">
        <f>M110-AX110</f>
        <v>0</v>
      </c>
      <c r="BE110" s="262">
        <f t="shared" si="260"/>
        <v>0</v>
      </c>
      <c r="BF110" s="176">
        <f t="shared" si="274"/>
        <v>39245.129999999997</v>
      </c>
      <c r="BG110" s="498">
        <v>0</v>
      </c>
      <c r="BH110" s="176">
        <v>0</v>
      </c>
      <c r="BI110" s="498">
        <v>0</v>
      </c>
      <c r="BJ110" s="176">
        <f>AX110</f>
        <v>39245.129999999997</v>
      </c>
      <c r="BK110" s="498">
        <v>0</v>
      </c>
      <c r="BL110" s="176">
        <f t="shared" si="279"/>
        <v>0</v>
      </c>
      <c r="BM110" s="500">
        <v>0</v>
      </c>
      <c r="BN110" s="176">
        <v>0</v>
      </c>
      <c r="BO110" s="498">
        <v>0</v>
      </c>
      <c r="BP110" s="176">
        <f t="shared" si="281"/>
        <v>0</v>
      </c>
      <c r="BQ110" s="498">
        <v>0</v>
      </c>
      <c r="BR110" s="176">
        <f t="shared" si="282"/>
        <v>0</v>
      </c>
      <c r="BS110" s="263">
        <f t="shared" si="246"/>
        <v>0</v>
      </c>
      <c r="BT110" s="176">
        <v>0</v>
      </c>
      <c r="BU110" s="259">
        <v>0</v>
      </c>
      <c r="BV110" s="176">
        <f t="shared" si="283"/>
        <v>0</v>
      </c>
      <c r="BW110" s="263">
        <f t="shared" si="263"/>
        <v>0</v>
      </c>
      <c r="BX110" s="423" t="s">
        <v>173</v>
      </c>
      <c r="BY110" s="265"/>
      <c r="BZ110" s="176"/>
      <c r="CA110" s="265"/>
      <c r="CB110" s="277"/>
      <c r="CC110" s="265"/>
      <c r="CD110" s="176"/>
      <c r="CE110" s="265"/>
      <c r="CF110" s="176" t="s">
        <v>174</v>
      </c>
      <c r="CG110" s="176"/>
      <c r="CH110" s="176"/>
      <c r="CI110" s="272"/>
      <c r="CJ110" s="176"/>
      <c r="CK110" s="273"/>
    </row>
    <row r="111" spans="2:89" s="492" customFormat="1" ht="46.5" hidden="1" customHeight="1">
      <c r="B111" s="501"/>
      <c r="C111" s="423" t="s">
        <v>175</v>
      </c>
      <c r="D111" s="502"/>
      <c r="E111" s="502"/>
      <c r="F111" s="502"/>
      <c r="G111" s="502"/>
      <c r="H111" s="502"/>
      <c r="I111" s="502"/>
      <c r="J111" s="502"/>
      <c r="K111" s="503">
        <f>L111+M111</f>
        <v>26868.395360000002</v>
      </c>
      <c r="L111" s="251">
        <v>0</v>
      </c>
      <c r="M111" s="503">
        <f>SUM(M112:M115)</f>
        <v>26868.395360000002</v>
      </c>
      <c r="N111" s="503">
        <f t="shared" si="212"/>
        <v>0</v>
      </c>
      <c r="O111" s="503"/>
      <c r="P111" s="503">
        <f t="shared" si="268"/>
        <v>0</v>
      </c>
      <c r="Q111" s="502">
        <f>S111</f>
        <v>26868.395360000002</v>
      </c>
      <c r="R111" s="502"/>
      <c r="S111" s="502">
        <f>S112+S113+S114+S115</f>
        <v>26868.395360000002</v>
      </c>
      <c r="T111" s="503">
        <f t="shared" ref="T111:BD111" si="286">T112+T113+T114+T115</f>
        <v>24150.432390000002</v>
      </c>
      <c r="U111" s="503" t="e">
        <f t="shared" si="286"/>
        <v>#DIV/0!</v>
      </c>
      <c r="V111" s="503">
        <f t="shared" si="286"/>
        <v>0</v>
      </c>
      <c r="W111" s="503">
        <f t="shared" si="286"/>
        <v>0</v>
      </c>
      <c r="X111" s="503">
        <f t="shared" si="286"/>
        <v>24150.432390000002</v>
      </c>
      <c r="Y111" s="503" t="e">
        <f t="shared" si="286"/>
        <v>#DIV/0!</v>
      </c>
      <c r="Z111" s="503">
        <f t="shared" si="286"/>
        <v>2717.96297</v>
      </c>
      <c r="AA111" s="503" t="e">
        <f t="shared" si="286"/>
        <v>#DIV/0!</v>
      </c>
      <c r="AB111" s="503">
        <f t="shared" si="286"/>
        <v>0</v>
      </c>
      <c r="AC111" s="503">
        <f t="shared" si="286"/>
        <v>0</v>
      </c>
      <c r="AD111" s="503">
        <f t="shared" si="286"/>
        <v>2717.96297</v>
      </c>
      <c r="AE111" s="503">
        <f t="shared" si="286"/>
        <v>0</v>
      </c>
      <c r="AF111" s="503">
        <f t="shared" si="286"/>
        <v>0</v>
      </c>
      <c r="AG111" s="503">
        <f t="shared" si="286"/>
        <v>0</v>
      </c>
      <c r="AH111" s="503">
        <f t="shared" si="286"/>
        <v>0</v>
      </c>
      <c r="AI111" s="503">
        <f t="shared" si="286"/>
        <v>0</v>
      </c>
      <c r="AJ111" s="503">
        <f t="shared" si="286"/>
        <v>0</v>
      </c>
      <c r="AK111" s="503">
        <f t="shared" si="286"/>
        <v>17503.89849</v>
      </c>
      <c r="AL111" s="503">
        <f t="shared" si="286"/>
        <v>0</v>
      </c>
      <c r="AM111" s="504" t="e">
        <f t="shared" si="286"/>
        <v>#DIV/0!</v>
      </c>
      <c r="AN111" s="503">
        <f t="shared" si="286"/>
        <v>0</v>
      </c>
      <c r="AO111" s="503">
        <f t="shared" si="286"/>
        <v>0</v>
      </c>
      <c r="AP111" s="504">
        <f t="shared" si="286"/>
        <v>0</v>
      </c>
      <c r="AQ111" s="503">
        <f t="shared" si="286"/>
        <v>17503.89849</v>
      </c>
      <c r="AR111" s="503">
        <f t="shared" si="286"/>
        <v>0</v>
      </c>
      <c r="AS111" s="256">
        <f t="shared" si="272"/>
        <v>0.65146795167599458</v>
      </c>
      <c r="AT111" s="503">
        <f t="shared" si="286"/>
        <v>26868.395360000002</v>
      </c>
      <c r="AU111" s="259">
        <f t="shared" si="219"/>
        <v>1</v>
      </c>
      <c r="AV111" s="161">
        <f t="shared" si="286"/>
        <v>0</v>
      </c>
      <c r="AW111" s="261" t="e">
        <f>AV111/L111</f>
        <v>#DIV/0!</v>
      </c>
      <c r="AX111" s="161">
        <f t="shared" si="286"/>
        <v>26868.395360000002</v>
      </c>
      <c r="AY111" s="498">
        <f t="shared" si="284"/>
        <v>1</v>
      </c>
      <c r="AZ111" s="176">
        <f t="shared" si="276"/>
        <v>0</v>
      </c>
      <c r="BA111" s="262">
        <f t="shared" si="221"/>
        <v>0</v>
      </c>
      <c r="BB111" s="176">
        <f t="shared" si="286"/>
        <v>0</v>
      </c>
      <c r="BC111" s="262" t="e">
        <f>BB111/L111</f>
        <v>#DIV/0!</v>
      </c>
      <c r="BD111" s="161">
        <f t="shared" si="286"/>
        <v>0</v>
      </c>
      <c r="BE111" s="262">
        <f t="shared" si="260"/>
        <v>0</v>
      </c>
      <c r="BF111" s="161">
        <f t="shared" si="274"/>
        <v>26868.395360000002</v>
      </c>
      <c r="BG111" s="498">
        <f t="shared" si="277"/>
        <v>1</v>
      </c>
      <c r="BH111" s="161">
        <v>0</v>
      </c>
      <c r="BI111" s="498">
        <v>0</v>
      </c>
      <c r="BJ111" s="503">
        <f>SUM(BJ112:BJ115)</f>
        <v>26868.395360000002</v>
      </c>
      <c r="BK111" s="498">
        <f t="shared" si="278"/>
        <v>1</v>
      </c>
      <c r="BL111" s="176">
        <f t="shared" si="279"/>
        <v>0</v>
      </c>
      <c r="BM111" s="500">
        <f t="shared" si="280"/>
        <v>0</v>
      </c>
      <c r="BN111" s="161">
        <v>0</v>
      </c>
      <c r="BO111" s="498">
        <v>0</v>
      </c>
      <c r="BP111" s="176">
        <f t="shared" si="281"/>
        <v>0</v>
      </c>
      <c r="BQ111" s="498">
        <f t="shared" si="262"/>
        <v>0</v>
      </c>
      <c r="BR111" s="176">
        <f t="shared" si="282"/>
        <v>0</v>
      </c>
      <c r="BS111" s="263">
        <f t="shared" si="246"/>
        <v>0</v>
      </c>
      <c r="BT111" s="161">
        <v>0</v>
      </c>
      <c r="BU111" s="259">
        <v>0</v>
      </c>
      <c r="BV111" s="176">
        <f t="shared" si="283"/>
        <v>0</v>
      </c>
      <c r="BW111" s="263">
        <f t="shared" si="263"/>
        <v>0</v>
      </c>
      <c r="BX111" s="505"/>
      <c r="BY111" s="265"/>
      <c r="BZ111" s="161"/>
      <c r="CA111" s="265"/>
      <c r="CB111" s="161"/>
      <c r="CC111" s="265"/>
      <c r="CD111" s="161"/>
      <c r="CE111" s="265"/>
      <c r="CF111" s="161"/>
      <c r="CG111" s="161"/>
      <c r="CH111" s="161"/>
      <c r="CI111" s="490"/>
      <c r="CJ111" s="161"/>
      <c r="CK111" s="491"/>
    </row>
    <row r="112" spans="2:89" s="42" customFormat="1" ht="78" hidden="1" customHeight="1">
      <c r="B112" s="493" t="s">
        <v>176</v>
      </c>
      <c r="C112" s="423" t="s">
        <v>177</v>
      </c>
      <c r="D112" s="494"/>
      <c r="E112" s="249"/>
      <c r="F112" s="249"/>
      <c r="G112" s="249"/>
      <c r="H112" s="249"/>
      <c r="I112" s="306"/>
      <c r="J112" s="306"/>
      <c r="K112" s="251">
        <f t="shared" ref="K112:K122" si="287">L112+M112</f>
        <v>24150.432390000002</v>
      </c>
      <c r="L112" s="251">
        <v>0</v>
      </c>
      <c r="M112" s="251">
        <f>S112</f>
        <v>24150.432390000002</v>
      </c>
      <c r="N112" s="251">
        <f t="shared" si="212"/>
        <v>0</v>
      </c>
      <c r="O112" s="447"/>
      <c r="P112" s="251">
        <f t="shared" si="268"/>
        <v>0</v>
      </c>
      <c r="Q112" s="249">
        <f t="shared" si="213"/>
        <v>24150.432390000002</v>
      </c>
      <c r="R112" s="249"/>
      <c r="S112" s="249">
        <v>24150.432390000002</v>
      </c>
      <c r="T112" s="251">
        <f t="shared" si="264"/>
        <v>24150.432390000002</v>
      </c>
      <c r="U112" s="253">
        <f t="shared" si="232"/>
        <v>1</v>
      </c>
      <c r="V112" s="251"/>
      <c r="W112" s="253"/>
      <c r="X112" s="251">
        <f>AT112</f>
        <v>24150.432390000002</v>
      </c>
      <c r="Y112" s="253">
        <f t="shared" si="234"/>
        <v>1</v>
      </c>
      <c r="Z112" s="251">
        <f t="shared" si="265"/>
        <v>0</v>
      </c>
      <c r="AA112" s="253">
        <f t="shared" si="235"/>
        <v>0</v>
      </c>
      <c r="AB112" s="251"/>
      <c r="AC112" s="254"/>
      <c r="AD112" s="251">
        <f t="shared" si="266"/>
        <v>0</v>
      </c>
      <c r="AE112" s="251"/>
      <c r="AF112" s="251"/>
      <c r="AG112" s="251"/>
      <c r="AH112" s="251"/>
      <c r="AI112" s="251"/>
      <c r="AJ112" s="251"/>
      <c r="AK112" s="251">
        <f>AQ112+AN112</f>
        <v>17503.89849</v>
      </c>
      <c r="AL112" s="255"/>
      <c r="AM112" s="495">
        <f t="shared" si="270"/>
        <v>0.72478613249375445</v>
      </c>
      <c r="AN112" s="496">
        <v>0</v>
      </c>
      <c r="AO112" s="497"/>
      <c r="AP112" s="256">
        <v>0</v>
      </c>
      <c r="AQ112" s="251">
        <f>17503.89849</f>
        <v>17503.89849</v>
      </c>
      <c r="AR112" s="258"/>
      <c r="AS112" s="256">
        <f t="shared" si="272"/>
        <v>0.72478613249375445</v>
      </c>
      <c r="AT112" s="251">
        <f t="shared" si="273"/>
        <v>24150.432390000002</v>
      </c>
      <c r="AU112" s="259">
        <f t="shared" si="219"/>
        <v>1</v>
      </c>
      <c r="AV112" s="176">
        <v>0</v>
      </c>
      <c r="AW112" s="261">
        <v>0</v>
      </c>
      <c r="AX112" s="251">
        <f>M112</f>
        <v>24150.432390000002</v>
      </c>
      <c r="AY112" s="498">
        <f t="shared" si="284"/>
        <v>1</v>
      </c>
      <c r="AZ112" s="176">
        <f t="shared" si="276"/>
        <v>0</v>
      </c>
      <c r="BA112" s="262">
        <f t="shared" si="221"/>
        <v>0</v>
      </c>
      <c r="BB112" s="176">
        <v>0</v>
      </c>
      <c r="BC112" s="262">
        <v>0</v>
      </c>
      <c r="BD112" s="176">
        <f t="shared" ref="BD112:BD121" si="288">M112-AX112</f>
        <v>0</v>
      </c>
      <c r="BE112" s="262">
        <f t="shared" si="260"/>
        <v>0</v>
      </c>
      <c r="BF112" s="176">
        <f t="shared" si="274"/>
        <v>24150.432390000002</v>
      </c>
      <c r="BG112" s="498">
        <f t="shared" si="277"/>
        <v>1</v>
      </c>
      <c r="BH112" s="176">
        <v>0</v>
      </c>
      <c r="BI112" s="498">
        <v>0</v>
      </c>
      <c r="BJ112" s="176">
        <f>'[1]тыс. руб 1 знак'!$AX$109</f>
        <v>24150.432390000002</v>
      </c>
      <c r="BK112" s="498">
        <f t="shared" si="278"/>
        <v>1</v>
      </c>
      <c r="BL112" s="176">
        <f t="shared" si="279"/>
        <v>0</v>
      </c>
      <c r="BM112" s="500">
        <f t="shared" si="280"/>
        <v>0</v>
      </c>
      <c r="BN112" s="176">
        <v>0</v>
      </c>
      <c r="BO112" s="498">
        <v>0</v>
      </c>
      <c r="BP112" s="176">
        <f t="shared" si="281"/>
        <v>0</v>
      </c>
      <c r="BQ112" s="498">
        <f t="shared" si="262"/>
        <v>0</v>
      </c>
      <c r="BR112" s="176">
        <f t="shared" si="282"/>
        <v>0</v>
      </c>
      <c r="BS112" s="263">
        <f t="shared" si="246"/>
        <v>0</v>
      </c>
      <c r="BT112" s="176">
        <v>0</v>
      </c>
      <c r="BU112" s="259">
        <v>0</v>
      </c>
      <c r="BV112" s="176">
        <f t="shared" si="283"/>
        <v>0</v>
      </c>
      <c r="BW112" s="263">
        <f t="shared" si="263"/>
        <v>0</v>
      </c>
      <c r="BX112" s="423" t="s">
        <v>178</v>
      </c>
      <c r="BY112" s="265"/>
      <c r="BZ112" s="176"/>
      <c r="CA112" s="265"/>
      <c r="CB112" s="277"/>
      <c r="CC112" s="265"/>
      <c r="CD112" s="176"/>
      <c r="CE112" s="265"/>
      <c r="CF112" s="176" t="s">
        <v>179</v>
      </c>
      <c r="CG112" s="176"/>
      <c r="CH112" s="176"/>
      <c r="CI112" s="272"/>
      <c r="CJ112" s="176"/>
      <c r="CK112" s="273"/>
    </row>
    <row r="113" spans="2:90" s="42" customFormat="1" ht="56.25" hidden="1" customHeight="1">
      <c r="B113" s="493" t="s">
        <v>180</v>
      </c>
      <c r="C113" s="423" t="s">
        <v>181</v>
      </c>
      <c r="D113" s="494"/>
      <c r="E113" s="249"/>
      <c r="F113" s="249"/>
      <c r="G113" s="249"/>
      <c r="H113" s="249"/>
      <c r="I113" s="306"/>
      <c r="J113" s="306"/>
      <c r="K113" s="251">
        <f t="shared" si="287"/>
        <v>0</v>
      </c>
      <c r="L113" s="251">
        <v>0</v>
      </c>
      <c r="M113" s="251">
        <v>0</v>
      </c>
      <c r="N113" s="251">
        <f t="shared" si="212"/>
        <v>0</v>
      </c>
      <c r="O113" s="447"/>
      <c r="P113" s="251">
        <f t="shared" si="268"/>
        <v>0</v>
      </c>
      <c r="Q113" s="249">
        <f t="shared" si="213"/>
        <v>0</v>
      </c>
      <c r="R113" s="249"/>
      <c r="S113" s="249">
        <v>0</v>
      </c>
      <c r="T113" s="251">
        <f t="shared" si="264"/>
        <v>0</v>
      </c>
      <c r="U113" s="253" t="e">
        <f t="shared" si="232"/>
        <v>#DIV/0!</v>
      </c>
      <c r="V113" s="251"/>
      <c r="W113" s="253"/>
      <c r="X113" s="251">
        <f t="shared" si="285"/>
        <v>0</v>
      </c>
      <c r="Y113" s="253" t="e">
        <f t="shared" si="234"/>
        <v>#DIV/0!</v>
      </c>
      <c r="Z113" s="251">
        <f t="shared" si="265"/>
        <v>0</v>
      </c>
      <c r="AA113" s="253" t="e">
        <f t="shared" si="235"/>
        <v>#DIV/0!</v>
      </c>
      <c r="AB113" s="251"/>
      <c r="AC113" s="254"/>
      <c r="AD113" s="251">
        <f t="shared" si="266"/>
        <v>0</v>
      </c>
      <c r="AE113" s="251"/>
      <c r="AF113" s="251"/>
      <c r="AG113" s="251"/>
      <c r="AH113" s="251"/>
      <c r="AI113" s="251"/>
      <c r="AJ113" s="251"/>
      <c r="AK113" s="251">
        <f t="shared" ref="AK113:AK121" si="289">AQ113+AN113</f>
        <v>0</v>
      </c>
      <c r="AL113" s="255"/>
      <c r="AM113" s="495">
        <v>0</v>
      </c>
      <c r="AN113" s="496">
        <v>0</v>
      </c>
      <c r="AO113" s="497"/>
      <c r="AP113" s="256">
        <v>0</v>
      </c>
      <c r="AQ113" s="251">
        <v>0</v>
      </c>
      <c r="AR113" s="258"/>
      <c r="AS113" s="256">
        <v>0</v>
      </c>
      <c r="AT113" s="251">
        <f t="shared" si="273"/>
        <v>0</v>
      </c>
      <c r="AU113" s="259" t="e">
        <f t="shared" si="219"/>
        <v>#DIV/0!</v>
      </c>
      <c r="AV113" s="176">
        <v>0</v>
      </c>
      <c r="AW113" s="261" t="e">
        <f>AV113/L113</f>
        <v>#DIV/0!</v>
      </c>
      <c r="AX113" s="176">
        <v>0</v>
      </c>
      <c r="AY113" s="498" t="e">
        <f t="shared" si="284"/>
        <v>#DIV/0!</v>
      </c>
      <c r="AZ113" s="176">
        <f t="shared" si="276"/>
        <v>0</v>
      </c>
      <c r="BA113" s="262" t="e">
        <f t="shared" si="221"/>
        <v>#DIV/0!</v>
      </c>
      <c r="BB113" s="176"/>
      <c r="BC113" s="262" t="e">
        <f>BB113/L113</f>
        <v>#DIV/0!</v>
      </c>
      <c r="BD113" s="176">
        <f t="shared" si="288"/>
        <v>0</v>
      </c>
      <c r="BE113" s="262" t="e">
        <f t="shared" si="260"/>
        <v>#DIV/0!</v>
      </c>
      <c r="BF113" s="176">
        <f t="shared" si="274"/>
        <v>0</v>
      </c>
      <c r="BG113" s="498" t="e">
        <f t="shared" si="277"/>
        <v>#DIV/0!</v>
      </c>
      <c r="BH113" s="176">
        <v>0</v>
      </c>
      <c r="BI113" s="498">
        <v>0</v>
      </c>
      <c r="BJ113" s="176">
        <f>S113</f>
        <v>0</v>
      </c>
      <c r="BK113" s="498" t="e">
        <f t="shared" si="278"/>
        <v>#DIV/0!</v>
      </c>
      <c r="BL113" s="176">
        <f t="shared" si="279"/>
        <v>0</v>
      </c>
      <c r="BM113" s="500" t="e">
        <f t="shared" si="280"/>
        <v>#DIV/0!</v>
      </c>
      <c r="BN113" s="176">
        <v>0</v>
      </c>
      <c r="BO113" s="498">
        <v>0</v>
      </c>
      <c r="BP113" s="176">
        <f t="shared" si="281"/>
        <v>0</v>
      </c>
      <c r="BQ113" s="498" t="e">
        <f t="shared" si="262"/>
        <v>#DIV/0!</v>
      </c>
      <c r="BR113" s="176">
        <f t="shared" si="282"/>
        <v>0</v>
      </c>
      <c r="BS113" s="263" t="e">
        <f t="shared" si="246"/>
        <v>#DIV/0!</v>
      </c>
      <c r="BT113" s="176">
        <v>0</v>
      </c>
      <c r="BU113" s="259">
        <v>0</v>
      </c>
      <c r="BV113" s="176">
        <f t="shared" si="283"/>
        <v>0</v>
      </c>
      <c r="BW113" s="263" t="e">
        <f t="shared" si="263"/>
        <v>#DIV/0!</v>
      </c>
      <c r="BX113" s="303"/>
      <c r="BY113" s="265"/>
      <c r="BZ113" s="176"/>
      <c r="CA113" s="265"/>
      <c r="CB113" s="277"/>
      <c r="CC113" s="265"/>
      <c r="CD113" s="176"/>
      <c r="CE113" s="265"/>
      <c r="CF113" s="176" t="s">
        <v>182</v>
      </c>
      <c r="CG113" s="176"/>
      <c r="CH113" s="176"/>
      <c r="CI113" s="272"/>
      <c r="CJ113" s="176"/>
      <c r="CK113" s="273"/>
    </row>
    <row r="114" spans="2:90" s="42" customFormat="1" ht="53.25" hidden="1" customHeight="1">
      <c r="B114" s="493" t="s">
        <v>183</v>
      </c>
      <c r="C114" s="423" t="s">
        <v>184</v>
      </c>
      <c r="D114" s="494"/>
      <c r="E114" s="249"/>
      <c r="F114" s="249"/>
      <c r="G114" s="249"/>
      <c r="H114" s="249"/>
      <c r="I114" s="306"/>
      <c r="J114" s="306"/>
      <c r="K114" s="251">
        <f t="shared" si="287"/>
        <v>0</v>
      </c>
      <c r="L114" s="251">
        <v>0</v>
      </c>
      <c r="M114" s="251">
        <v>0</v>
      </c>
      <c r="N114" s="251">
        <f t="shared" si="212"/>
        <v>0</v>
      </c>
      <c r="O114" s="447"/>
      <c r="P114" s="251">
        <f t="shared" si="268"/>
        <v>0</v>
      </c>
      <c r="Q114" s="249">
        <f t="shared" si="213"/>
        <v>0</v>
      </c>
      <c r="R114" s="249"/>
      <c r="S114" s="249">
        <v>0</v>
      </c>
      <c r="T114" s="251">
        <f t="shared" si="264"/>
        <v>0</v>
      </c>
      <c r="U114" s="253" t="e">
        <f t="shared" si="232"/>
        <v>#DIV/0!</v>
      </c>
      <c r="V114" s="251"/>
      <c r="W114" s="253"/>
      <c r="X114" s="251">
        <v>0</v>
      </c>
      <c r="Y114" s="253" t="e">
        <f t="shared" si="234"/>
        <v>#DIV/0!</v>
      </c>
      <c r="Z114" s="251">
        <f t="shared" si="265"/>
        <v>0</v>
      </c>
      <c r="AA114" s="253" t="e">
        <f t="shared" si="235"/>
        <v>#DIV/0!</v>
      </c>
      <c r="AB114" s="251"/>
      <c r="AC114" s="254"/>
      <c r="AD114" s="251">
        <f t="shared" si="266"/>
        <v>0</v>
      </c>
      <c r="AE114" s="251"/>
      <c r="AF114" s="251"/>
      <c r="AG114" s="251"/>
      <c r="AH114" s="251"/>
      <c r="AI114" s="251"/>
      <c r="AJ114" s="251"/>
      <c r="AK114" s="251">
        <f t="shared" si="289"/>
        <v>0</v>
      </c>
      <c r="AL114" s="255"/>
      <c r="AM114" s="495" t="e">
        <f t="shared" si="270"/>
        <v>#DIV/0!</v>
      </c>
      <c r="AN114" s="496">
        <v>0</v>
      </c>
      <c r="AO114" s="497"/>
      <c r="AP114" s="256">
        <v>0</v>
      </c>
      <c r="AQ114" s="251">
        <v>0</v>
      </c>
      <c r="AR114" s="258"/>
      <c r="AS114" s="256" t="e">
        <f t="shared" si="272"/>
        <v>#DIV/0!</v>
      </c>
      <c r="AT114" s="251">
        <f t="shared" si="273"/>
        <v>0</v>
      </c>
      <c r="AU114" s="259" t="e">
        <f t="shared" si="219"/>
        <v>#DIV/0!</v>
      </c>
      <c r="AV114" s="176">
        <v>0</v>
      </c>
      <c r="AW114" s="261" t="e">
        <f>AV114/L114</f>
        <v>#DIV/0!</v>
      </c>
      <c r="AX114" s="176">
        <v>0</v>
      </c>
      <c r="AY114" s="498" t="e">
        <f t="shared" si="284"/>
        <v>#DIV/0!</v>
      </c>
      <c r="AZ114" s="176">
        <f t="shared" si="276"/>
        <v>0</v>
      </c>
      <c r="BA114" s="262" t="e">
        <f t="shared" si="221"/>
        <v>#DIV/0!</v>
      </c>
      <c r="BB114" s="176"/>
      <c r="BC114" s="262" t="e">
        <f>BB114/L114</f>
        <v>#DIV/0!</v>
      </c>
      <c r="BD114" s="176">
        <f t="shared" si="288"/>
        <v>0</v>
      </c>
      <c r="BE114" s="262" t="e">
        <f t="shared" si="260"/>
        <v>#DIV/0!</v>
      </c>
      <c r="BF114" s="176">
        <f t="shared" si="274"/>
        <v>0</v>
      </c>
      <c r="BG114" s="498" t="e">
        <f t="shared" si="277"/>
        <v>#DIV/0!</v>
      </c>
      <c r="BH114" s="176">
        <v>0</v>
      </c>
      <c r="BI114" s="498">
        <v>0</v>
      </c>
      <c r="BJ114" s="176">
        <v>0</v>
      </c>
      <c r="BK114" s="498" t="e">
        <f t="shared" si="278"/>
        <v>#DIV/0!</v>
      </c>
      <c r="BL114" s="176">
        <f t="shared" si="279"/>
        <v>0</v>
      </c>
      <c r="BM114" s="500" t="e">
        <f t="shared" si="280"/>
        <v>#DIV/0!</v>
      </c>
      <c r="BN114" s="176">
        <v>0</v>
      </c>
      <c r="BO114" s="498">
        <v>0</v>
      </c>
      <c r="BP114" s="176">
        <f t="shared" si="281"/>
        <v>0</v>
      </c>
      <c r="BQ114" s="498" t="e">
        <f t="shared" si="262"/>
        <v>#DIV/0!</v>
      </c>
      <c r="BR114" s="176">
        <f t="shared" si="282"/>
        <v>0</v>
      </c>
      <c r="BS114" s="263" t="e">
        <f t="shared" si="246"/>
        <v>#DIV/0!</v>
      </c>
      <c r="BT114" s="176">
        <v>0</v>
      </c>
      <c r="BU114" s="259">
        <v>0</v>
      </c>
      <c r="BV114" s="176">
        <f t="shared" si="283"/>
        <v>0</v>
      </c>
      <c r="BW114" s="263" t="e">
        <f t="shared" si="263"/>
        <v>#DIV/0!</v>
      </c>
      <c r="BX114" s="303"/>
      <c r="BY114" s="265"/>
      <c r="BZ114" s="176"/>
      <c r="CA114" s="265"/>
      <c r="CB114" s="277"/>
      <c r="CC114" s="265"/>
      <c r="CD114" s="176"/>
      <c r="CE114" s="265"/>
      <c r="CF114" s="176"/>
      <c r="CG114" s="176"/>
      <c r="CH114" s="176"/>
      <c r="CI114" s="272"/>
      <c r="CJ114" s="176"/>
      <c r="CK114" s="273"/>
    </row>
    <row r="115" spans="2:90" s="42" customFormat="1" ht="48" hidden="1" customHeight="1">
      <c r="B115" s="506" t="s">
        <v>183</v>
      </c>
      <c r="C115" s="423" t="s">
        <v>185</v>
      </c>
      <c r="D115" s="317"/>
      <c r="E115" s="320"/>
      <c r="F115" s="320"/>
      <c r="G115" s="320"/>
      <c r="H115" s="320"/>
      <c r="I115" s="507"/>
      <c r="J115" s="507"/>
      <c r="K115" s="319">
        <f t="shared" si="287"/>
        <v>2717.96297</v>
      </c>
      <c r="L115" s="251">
        <v>0</v>
      </c>
      <c r="M115" s="319">
        <v>2717.96297</v>
      </c>
      <c r="N115" s="319">
        <f t="shared" si="212"/>
        <v>0</v>
      </c>
      <c r="O115" s="508"/>
      <c r="P115" s="319">
        <f t="shared" si="268"/>
        <v>0</v>
      </c>
      <c r="Q115" s="320">
        <f t="shared" si="213"/>
        <v>2717.96297</v>
      </c>
      <c r="R115" s="320"/>
      <c r="S115" s="320">
        <v>2717.96297</v>
      </c>
      <c r="T115" s="319">
        <f t="shared" si="264"/>
        <v>0</v>
      </c>
      <c r="U115" s="323">
        <f t="shared" si="232"/>
        <v>0</v>
      </c>
      <c r="V115" s="319"/>
      <c r="W115" s="323"/>
      <c r="X115" s="319">
        <v>0</v>
      </c>
      <c r="Y115" s="323">
        <f t="shared" si="234"/>
        <v>0</v>
      </c>
      <c r="Z115" s="319">
        <f t="shared" si="265"/>
        <v>2717.96297</v>
      </c>
      <c r="AA115" s="323">
        <f t="shared" si="235"/>
        <v>1</v>
      </c>
      <c r="AB115" s="319"/>
      <c r="AC115" s="509"/>
      <c r="AD115" s="319">
        <f t="shared" si="266"/>
        <v>2717.96297</v>
      </c>
      <c r="AE115" s="319"/>
      <c r="AF115" s="319"/>
      <c r="AG115" s="319"/>
      <c r="AH115" s="319"/>
      <c r="AI115" s="319"/>
      <c r="AJ115" s="319"/>
      <c r="AK115" s="319">
        <f t="shared" si="289"/>
        <v>0</v>
      </c>
      <c r="AL115" s="325"/>
      <c r="AM115" s="495">
        <f t="shared" si="270"/>
        <v>0</v>
      </c>
      <c r="AN115" s="251">
        <v>0</v>
      </c>
      <c r="AO115" s="510"/>
      <c r="AP115" s="495">
        <v>0</v>
      </c>
      <c r="AQ115" s="319">
        <v>0</v>
      </c>
      <c r="AR115" s="511"/>
      <c r="AS115" s="256">
        <f t="shared" si="272"/>
        <v>0</v>
      </c>
      <c r="AT115" s="319">
        <f t="shared" si="273"/>
        <v>2717.96297</v>
      </c>
      <c r="AU115" s="259">
        <f t="shared" si="219"/>
        <v>1</v>
      </c>
      <c r="AV115" s="191">
        <v>0</v>
      </c>
      <c r="AW115" s="261">
        <v>0</v>
      </c>
      <c r="AX115" s="191">
        <f>M115</f>
        <v>2717.96297</v>
      </c>
      <c r="AY115" s="498">
        <f t="shared" si="284"/>
        <v>1</v>
      </c>
      <c r="AZ115" s="176">
        <f t="shared" si="276"/>
        <v>0</v>
      </c>
      <c r="BA115" s="262">
        <f t="shared" si="221"/>
        <v>0</v>
      </c>
      <c r="BB115" s="191">
        <v>0</v>
      </c>
      <c r="BC115" s="262">
        <v>0</v>
      </c>
      <c r="BD115" s="176">
        <f t="shared" si="288"/>
        <v>0</v>
      </c>
      <c r="BE115" s="262">
        <f t="shared" si="260"/>
        <v>0</v>
      </c>
      <c r="BF115" s="191">
        <f t="shared" si="274"/>
        <v>2717.96297</v>
      </c>
      <c r="BG115" s="498">
        <f t="shared" si="277"/>
        <v>1</v>
      </c>
      <c r="BH115" s="191">
        <v>0</v>
      </c>
      <c r="BI115" s="498">
        <v>0</v>
      </c>
      <c r="BJ115" s="191">
        <v>2717.96297</v>
      </c>
      <c r="BK115" s="498">
        <f t="shared" si="278"/>
        <v>1</v>
      </c>
      <c r="BL115" s="176">
        <f t="shared" si="279"/>
        <v>0</v>
      </c>
      <c r="BM115" s="500">
        <f t="shared" si="280"/>
        <v>0</v>
      </c>
      <c r="BN115" s="191">
        <v>0</v>
      </c>
      <c r="BO115" s="498">
        <v>0</v>
      </c>
      <c r="BP115" s="176">
        <f t="shared" si="281"/>
        <v>0</v>
      </c>
      <c r="BQ115" s="498">
        <f t="shared" si="262"/>
        <v>0</v>
      </c>
      <c r="BR115" s="176">
        <f t="shared" si="282"/>
        <v>0</v>
      </c>
      <c r="BS115" s="263">
        <f t="shared" si="246"/>
        <v>0</v>
      </c>
      <c r="BT115" s="191">
        <v>0</v>
      </c>
      <c r="BU115" s="259">
        <v>0</v>
      </c>
      <c r="BV115" s="176">
        <f t="shared" si="283"/>
        <v>0</v>
      </c>
      <c r="BW115" s="263">
        <f t="shared" si="263"/>
        <v>0</v>
      </c>
      <c r="BX115" s="303"/>
      <c r="BY115" s="265"/>
      <c r="BZ115" s="176"/>
      <c r="CA115" s="265"/>
      <c r="CB115" s="277"/>
      <c r="CC115" s="265"/>
      <c r="CD115" s="176"/>
      <c r="CE115" s="265"/>
      <c r="CF115" s="176"/>
      <c r="CG115" s="176"/>
      <c r="CH115" s="176"/>
      <c r="CI115" s="272"/>
      <c r="CJ115" s="176"/>
      <c r="CK115" s="273"/>
    </row>
    <row r="116" spans="2:90" s="492" customFormat="1" ht="46.5" hidden="1" customHeight="1">
      <c r="B116" s="493" t="s">
        <v>160</v>
      </c>
      <c r="C116" s="423" t="s">
        <v>186</v>
      </c>
      <c r="D116" s="502"/>
      <c r="E116" s="502"/>
      <c r="F116" s="502"/>
      <c r="G116" s="502"/>
      <c r="H116" s="502"/>
      <c r="I116" s="502"/>
      <c r="J116" s="502"/>
      <c r="K116" s="503">
        <f t="shared" si="287"/>
        <v>57714.054000000004</v>
      </c>
      <c r="L116" s="251">
        <v>0</v>
      </c>
      <c r="M116" s="503">
        <f>SUM(M117:M121)</f>
        <v>57714.054000000004</v>
      </c>
      <c r="N116" s="503">
        <f t="shared" si="212"/>
        <v>0</v>
      </c>
      <c r="O116" s="503"/>
      <c r="P116" s="503">
        <f t="shared" si="268"/>
        <v>0</v>
      </c>
      <c r="Q116" s="502">
        <f>S116</f>
        <v>57714.054000000004</v>
      </c>
      <c r="R116" s="502"/>
      <c r="S116" s="502">
        <f>S117+S118+S119+S120+S121</f>
        <v>57714.054000000004</v>
      </c>
      <c r="T116" s="503">
        <f t="shared" ref="T116:BB116" si="290">T117+T118+T119+T120+T121</f>
        <v>0</v>
      </c>
      <c r="U116" s="503">
        <f t="shared" si="290"/>
        <v>0</v>
      </c>
      <c r="V116" s="503">
        <f t="shared" si="290"/>
        <v>0</v>
      </c>
      <c r="W116" s="503">
        <f t="shared" si="290"/>
        <v>0</v>
      </c>
      <c r="X116" s="503">
        <f t="shared" si="290"/>
        <v>0</v>
      </c>
      <c r="Y116" s="503">
        <f t="shared" si="290"/>
        <v>0</v>
      </c>
      <c r="Z116" s="503">
        <f t="shared" si="290"/>
        <v>0</v>
      </c>
      <c r="AA116" s="503">
        <f t="shared" si="290"/>
        <v>0</v>
      </c>
      <c r="AB116" s="503">
        <f t="shared" si="290"/>
        <v>0</v>
      </c>
      <c r="AC116" s="503">
        <f t="shared" si="290"/>
        <v>0</v>
      </c>
      <c r="AD116" s="503">
        <f t="shared" si="290"/>
        <v>0</v>
      </c>
      <c r="AE116" s="503">
        <f t="shared" si="290"/>
        <v>0</v>
      </c>
      <c r="AF116" s="503">
        <f t="shared" si="290"/>
        <v>0</v>
      </c>
      <c r="AG116" s="503">
        <f t="shared" si="290"/>
        <v>0</v>
      </c>
      <c r="AH116" s="503">
        <f t="shared" si="290"/>
        <v>0</v>
      </c>
      <c r="AI116" s="503">
        <f t="shared" si="290"/>
        <v>0</v>
      </c>
      <c r="AJ116" s="503">
        <f t="shared" si="290"/>
        <v>0</v>
      </c>
      <c r="AK116" s="319">
        <f t="shared" si="289"/>
        <v>0</v>
      </c>
      <c r="AL116" s="503">
        <f t="shared" si="290"/>
        <v>0</v>
      </c>
      <c r="AM116" s="495">
        <f t="shared" si="270"/>
        <v>0</v>
      </c>
      <c r="AN116" s="251">
        <v>0</v>
      </c>
      <c r="AO116" s="503">
        <f t="shared" si="290"/>
        <v>0</v>
      </c>
      <c r="AP116" s="495">
        <v>0</v>
      </c>
      <c r="AQ116" s="503">
        <f t="shared" si="290"/>
        <v>0</v>
      </c>
      <c r="AR116" s="503">
        <f t="shared" si="290"/>
        <v>0</v>
      </c>
      <c r="AS116" s="256">
        <f t="shared" si="272"/>
        <v>0</v>
      </c>
      <c r="AT116" s="319">
        <f t="shared" si="273"/>
        <v>57714.054000000004</v>
      </c>
      <c r="AU116" s="259">
        <f t="shared" si="219"/>
        <v>1</v>
      </c>
      <c r="AV116" s="191">
        <v>0</v>
      </c>
      <c r="AW116" s="261" t="e">
        <f>AV116/L116</f>
        <v>#DIV/0!</v>
      </c>
      <c r="AX116" s="161">
        <f t="shared" si="290"/>
        <v>57714.054000000004</v>
      </c>
      <c r="AY116" s="498">
        <f t="shared" si="284"/>
        <v>1</v>
      </c>
      <c r="AZ116" s="176">
        <f t="shared" si="276"/>
        <v>0</v>
      </c>
      <c r="BA116" s="262">
        <f t="shared" si="221"/>
        <v>0</v>
      </c>
      <c r="BB116" s="176">
        <f t="shared" si="290"/>
        <v>0</v>
      </c>
      <c r="BC116" s="262" t="e">
        <f>BB116/L116</f>
        <v>#DIV/0!</v>
      </c>
      <c r="BD116" s="176">
        <f t="shared" si="288"/>
        <v>0</v>
      </c>
      <c r="BE116" s="262">
        <f t="shared" si="260"/>
        <v>0</v>
      </c>
      <c r="BF116" s="161" t="e">
        <f t="shared" si="274"/>
        <v>#DIV/0!</v>
      </c>
      <c r="BG116" s="498" t="e">
        <f t="shared" si="277"/>
        <v>#DIV/0!</v>
      </c>
      <c r="BH116" s="161">
        <v>0</v>
      </c>
      <c r="BI116" s="498">
        <v>0</v>
      </c>
      <c r="BJ116" s="161" t="e">
        <f>SUM(BF117:BH121)</f>
        <v>#DIV/0!</v>
      </c>
      <c r="BK116" s="498" t="e">
        <f t="shared" si="278"/>
        <v>#DIV/0!</v>
      </c>
      <c r="BL116" s="176" t="e">
        <f t="shared" si="279"/>
        <v>#DIV/0!</v>
      </c>
      <c r="BM116" s="500" t="e">
        <f t="shared" si="280"/>
        <v>#DIV/0!</v>
      </c>
      <c r="BN116" s="161">
        <v>0</v>
      </c>
      <c r="BO116" s="498">
        <v>0</v>
      </c>
      <c r="BP116" s="176" t="e">
        <f t="shared" si="281"/>
        <v>#DIV/0!</v>
      </c>
      <c r="BQ116" s="498" t="e">
        <f t="shared" si="262"/>
        <v>#DIV/0!</v>
      </c>
      <c r="BR116" s="176" t="e">
        <f t="shared" si="282"/>
        <v>#DIV/0!</v>
      </c>
      <c r="BS116" s="263" t="e">
        <f t="shared" si="246"/>
        <v>#DIV/0!</v>
      </c>
      <c r="BT116" s="161">
        <v>0</v>
      </c>
      <c r="BU116" s="259">
        <v>0</v>
      </c>
      <c r="BV116" s="176" t="e">
        <f t="shared" si="283"/>
        <v>#DIV/0!</v>
      </c>
      <c r="BW116" s="263" t="e">
        <f t="shared" si="263"/>
        <v>#DIV/0!</v>
      </c>
      <c r="BX116" s="505"/>
      <c r="BY116" s="265"/>
      <c r="BZ116" s="161"/>
      <c r="CA116" s="265"/>
      <c r="CB116" s="161"/>
      <c r="CC116" s="265"/>
      <c r="CD116" s="161"/>
      <c r="CE116" s="265"/>
      <c r="CF116" s="161"/>
      <c r="CG116" s="161"/>
      <c r="CH116" s="161"/>
      <c r="CI116" s="490"/>
      <c r="CJ116" s="161"/>
      <c r="CK116" s="491"/>
    </row>
    <row r="117" spans="2:90" s="42" customFormat="1" ht="57.75" hidden="1" customHeight="1">
      <c r="B117" s="493" t="s">
        <v>187</v>
      </c>
      <c r="C117" s="423" t="s">
        <v>188</v>
      </c>
      <c r="D117" s="494"/>
      <c r="E117" s="249"/>
      <c r="F117" s="249"/>
      <c r="G117" s="249"/>
      <c r="H117" s="249"/>
      <c r="I117" s="306"/>
      <c r="J117" s="306"/>
      <c r="K117" s="251">
        <f t="shared" si="287"/>
        <v>17000</v>
      </c>
      <c r="L117" s="251">
        <v>0</v>
      </c>
      <c r="M117" s="251">
        <v>17000</v>
      </c>
      <c r="N117" s="251">
        <f>O117+P117</f>
        <v>0</v>
      </c>
      <c r="O117" s="251">
        <v>0</v>
      </c>
      <c r="P117" s="251">
        <f>S117-M117</f>
        <v>0</v>
      </c>
      <c r="Q117" s="249">
        <f>S117</f>
        <v>17000</v>
      </c>
      <c r="R117" s="249"/>
      <c r="S117" s="249">
        <f>M117</f>
        <v>17000</v>
      </c>
      <c r="T117" s="251"/>
      <c r="U117" s="253"/>
      <c r="V117" s="251"/>
      <c r="W117" s="253"/>
      <c r="X117" s="251"/>
      <c r="Y117" s="253"/>
      <c r="Z117" s="251"/>
      <c r="AA117" s="253"/>
      <c r="AB117" s="251"/>
      <c r="AC117" s="254"/>
      <c r="AD117" s="251"/>
      <c r="AE117" s="251"/>
      <c r="AF117" s="251"/>
      <c r="AG117" s="251"/>
      <c r="AH117" s="251"/>
      <c r="AI117" s="251"/>
      <c r="AJ117" s="251"/>
      <c r="AK117" s="319">
        <f t="shared" si="289"/>
        <v>0</v>
      </c>
      <c r="AL117" s="255"/>
      <c r="AM117" s="495">
        <f t="shared" si="270"/>
        <v>0</v>
      </c>
      <c r="AN117" s="251">
        <v>0</v>
      </c>
      <c r="AO117" s="253"/>
      <c r="AP117" s="495">
        <v>0</v>
      </c>
      <c r="AQ117" s="251">
        <v>0</v>
      </c>
      <c r="AR117" s="258"/>
      <c r="AS117" s="256">
        <f t="shared" si="272"/>
        <v>0</v>
      </c>
      <c r="AT117" s="319">
        <f t="shared" si="273"/>
        <v>17000</v>
      </c>
      <c r="AU117" s="259">
        <f t="shared" si="219"/>
        <v>1</v>
      </c>
      <c r="AV117" s="191">
        <v>0</v>
      </c>
      <c r="AW117" s="261">
        <v>0</v>
      </c>
      <c r="AX117" s="176">
        <f>M117</f>
        <v>17000</v>
      </c>
      <c r="AY117" s="498">
        <f t="shared" si="284"/>
        <v>1</v>
      </c>
      <c r="AZ117" s="176">
        <f t="shared" si="276"/>
        <v>0</v>
      </c>
      <c r="BA117" s="262">
        <f t="shared" si="221"/>
        <v>0</v>
      </c>
      <c r="BB117" s="176">
        <v>0</v>
      </c>
      <c r="BC117" s="262">
        <v>0</v>
      </c>
      <c r="BD117" s="176">
        <f t="shared" si="288"/>
        <v>0</v>
      </c>
      <c r="BE117" s="262">
        <f t="shared" si="260"/>
        <v>0</v>
      </c>
      <c r="BF117" s="176">
        <f t="shared" si="274"/>
        <v>17000</v>
      </c>
      <c r="BG117" s="498">
        <v>0</v>
      </c>
      <c r="BH117" s="176">
        <v>0</v>
      </c>
      <c r="BI117" s="498">
        <v>0</v>
      </c>
      <c r="BJ117" s="176">
        <f>AX117</f>
        <v>17000</v>
      </c>
      <c r="BK117" s="498">
        <v>0</v>
      </c>
      <c r="BL117" s="176">
        <f t="shared" si="279"/>
        <v>0</v>
      </c>
      <c r="BM117" s="500">
        <v>0</v>
      </c>
      <c r="BN117" s="176">
        <v>0</v>
      </c>
      <c r="BO117" s="498">
        <v>0</v>
      </c>
      <c r="BP117" s="176">
        <f t="shared" si="281"/>
        <v>0</v>
      </c>
      <c r="BQ117" s="498">
        <v>0</v>
      </c>
      <c r="BR117" s="176">
        <f t="shared" si="282"/>
        <v>0</v>
      </c>
      <c r="BS117" s="263">
        <f t="shared" si="246"/>
        <v>0</v>
      </c>
      <c r="BT117" s="176">
        <v>0</v>
      </c>
      <c r="BU117" s="259">
        <v>0</v>
      </c>
      <c r="BV117" s="176">
        <f t="shared" si="283"/>
        <v>0</v>
      </c>
      <c r="BW117" s="263">
        <f t="shared" si="263"/>
        <v>0</v>
      </c>
      <c r="BX117" s="423" t="s">
        <v>189</v>
      </c>
      <c r="BY117" s="265"/>
      <c r="BZ117" s="176"/>
      <c r="CA117" s="265"/>
      <c r="CB117" s="277"/>
      <c r="CC117" s="265"/>
      <c r="CD117" s="176"/>
      <c r="CE117" s="265"/>
      <c r="CF117" s="176"/>
      <c r="CG117" s="176"/>
      <c r="CH117" s="176"/>
      <c r="CI117" s="272"/>
      <c r="CJ117" s="176"/>
      <c r="CK117" s="273"/>
    </row>
    <row r="118" spans="2:90" s="42" customFormat="1" ht="61.5" hidden="1" customHeight="1">
      <c r="B118" s="493" t="s">
        <v>190</v>
      </c>
      <c r="C118" s="423" t="s">
        <v>191</v>
      </c>
      <c r="D118" s="494"/>
      <c r="E118" s="249"/>
      <c r="F118" s="249"/>
      <c r="G118" s="249"/>
      <c r="H118" s="249"/>
      <c r="I118" s="306"/>
      <c r="J118" s="306"/>
      <c r="K118" s="251">
        <f t="shared" si="287"/>
        <v>0</v>
      </c>
      <c r="L118" s="251">
        <v>0</v>
      </c>
      <c r="M118" s="251">
        <v>0</v>
      </c>
      <c r="N118" s="251">
        <f t="shared" ref="N118:N122" si="291">O118+P118</f>
        <v>0</v>
      </c>
      <c r="O118" s="251">
        <v>0</v>
      </c>
      <c r="P118" s="251">
        <f t="shared" ref="P118:P121" si="292">S118-M118</f>
        <v>0</v>
      </c>
      <c r="Q118" s="249">
        <f>S118</f>
        <v>0</v>
      </c>
      <c r="R118" s="249"/>
      <c r="S118" s="249">
        <v>0</v>
      </c>
      <c r="T118" s="251"/>
      <c r="U118" s="253"/>
      <c r="V118" s="251"/>
      <c r="W118" s="253"/>
      <c r="X118" s="251"/>
      <c r="Y118" s="253"/>
      <c r="Z118" s="251"/>
      <c r="AA118" s="253"/>
      <c r="AB118" s="251"/>
      <c r="AC118" s="254"/>
      <c r="AD118" s="251"/>
      <c r="AE118" s="251"/>
      <c r="AF118" s="251"/>
      <c r="AG118" s="251"/>
      <c r="AH118" s="251"/>
      <c r="AI118" s="251"/>
      <c r="AJ118" s="251"/>
      <c r="AK118" s="319">
        <f t="shared" si="289"/>
        <v>0</v>
      </c>
      <c r="AL118" s="255"/>
      <c r="AM118" s="495" t="e">
        <f t="shared" si="270"/>
        <v>#DIV/0!</v>
      </c>
      <c r="AN118" s="251">
        <v>0</v>
      </c>
      <c r="AO118" s="253"/>
      <c r="AP118" s="495">
        <v>0</v>
      </c>
      <c r="AQ118" s="251">
        <v>0</v>
      </c>
      <c r="AR118" s="258"/>
      <c r="AS118" s="256" t="e">
        <f t="shared" si="272"/>
        <v>#DIV/0!</v>
      </c>
      <c r="AT118" s="319">
        <f t="shared" si="273"/>
        <v>0</v>
      </c>
      <c r="AU118" s="259" t="e">
        <f t="shared" si="219"/>
        <v>#DIV/0!</v>
      </c>
      <c r="AV118" s="191">
        <v>0</v>
      </c>
      <c r="AW118" s="261" t="e">
        <f>AV118/L118</f>
        <v>#DIV/0!</v>
      </c>
      <c r="AX118" s="176">
        <f>M118</f>
        <v>0</v>
      </c>
      <c r="AY118" s="498" t="e">
        <f t="shared" si="284"/>
        <v>#DIV/0!</v>
      </c>
      <c r="AZ118" s="176">
        <f t="shared" si="276"/>
        <v>0</v>
      </c>
      <c r="BA118" s="262" t="e">
        <f t="shared" si="221"/>
        <v>#DIV/0!</v>
      </c>
      <c r="BB118" s="176"/>
      <c r="BC118" s="262" t="e">
        <f>BB118/L118</f>
        <v>#DIV/0!</v>
      </c>
      <c r="BD118" s="176">
        <f t="shared" si="288"/>
        <v>0</v>
      </c>
      <c r="BE118" s="262" t="e">
        <f t="shared" si="260"/>
        <v>#DIV/0!</v>
      </c>
      <c r="BF118" s="176">
        <f t="shared" si="274"/>
        <v>0</v>
      </c>
      <c r="BG118" s="498" t="e">
        <f t="shared" si="277"/>
        <v>#DIV/0!</v>
      </c>
      <c r="BH118" s="176">
        <v>0</v>
      </c>
      <c r="BI118" s="498">
        <v>0</v>
      </c>
      <c r="BJ118" s="176">
        <v>0</v>
      </c>
      <c r="BK118" s="498" t="e">
        <f t="shared" si="278"/>
        <v>#DIV/0!</v>
      </c>
      <c r="BL118" s="176">
        <f t="shared" si="279"/>
        <v>0</v>
      </c>
      <c r="BM118" s="500" t="e">
        <f t="shared" si="280"/>
        <v>#DIV/0!</v>
      </c>
      <c r="BN118" s="176">
        <v>0</v>
      </c>
      <c r="BO118" s="498">
        <v>0</v>
      </c>
      <c r="BP118" s="176">
        <f t="shared" si="281"/>
        <v>0</v>
      </c>
      <c r="BQ118" s="498" t="e">
        <f t="shared" si="262"/>
        <v>#DIV/0!</v>
      </c>
      <c r="BR118" s="176">
        <f t="shared" si="282"/>
        <v>0</v>
      </c>
      <c r="BS118" s="263" t="e">
        <f t="shared" si="246"/>
        <v>#DIV/0!</v>
      </c>
      <c r="BT118" s="176">
        <v>0</v>
      </c>
      <c r="BU118" s="259">
        <v>0</v>
      </c>
      <c r="BV118" s="176">
        <f t="shared" si="283"/>
        <v>0</v>
      </c>
      <c r="BW118" s="263" t="e">
        <f t="shared" si="263"/>
        <v>#DIV/0!</v>
      </c>
      <c r="BX118" s="303"/>
      <c r="BY118" s="265"/>
      <c r="BZ118" s="176"/>
      <c r="CA118" s="265"/>
      <c r="CB118" s="277"/>
      <c r="CC118" s="265"/>
      <c r="CD118" s="176"/>
      <c r="CE118" s="265"/>
      <c r="CF118" s="176"/>
      <c r="CG118" s="176"/>
      <c r="CH118" s="176"/>
      <c r="CI118" s="272"/>
      <c r="CJ118" s="176"/>
      <c r="CK118" s="273"/>
    </row>
    <row r="119" spans="2:90" s="42" customFormat="1" ht="61.5" hidden="1" customHeight="1">
      <c r="B119" s="493" t="s">
        <v>180</v>
      </c>
      <c r="C119" s="423" t="s">
        <v>192</v>
      </c>
      <c r="D119" s="494"/>
      <c r="E119" s="249"/>
      <c r="F119" s="249"/>
      <c r="G119" s="249"/>
      <c r="H119" s="249"/>
      <c r="I119" s="306"/>
      <c r="J119" s="306"/>
      <c r="K119" s="251">
        <f t="shared" si="287"/>
        <v>30000</v>
      </c>
      <c r="L119" s="251">
        <v>0</v>
      </c>
      <c r="M119" s="251">
        <v>30000</v>
      </c>
      <c r="N119" s="251">
        <f t="shared" si="291"/>
        <v>0</v>
      </c>
      <c r="O119" s="251">
        <v>0</v>
      </c>
      <c r="P119" s="251">
        <f t="shared" si="292"/>
        <v>0</v>
      </c>
      <c r="Q119" s="249">
        <f>S119</f>
        <v>30000</v>
      </c>
      <c r="R119" s="249"/>
      <c r="S119" s="249">
        <v>30000</v>
      </c>
      <c r="T119" s="251"/>
      <c r="U119" s="253"/>
      <c r="V119" s="251"/>
      <c r="W119" s="253"/>
      <c r="X119" s="251"/>
      <c r="Y119" s="253"/>
      <c r="Z119" s="251"/>
      <c r="AA119" s="253"/>
      <c r="AB119" s="251"/>
      <c r="AC119" s="254"/>
      <c r="AD119" s="251"/>
      <c r="AE119" s="251"/>
      <c r="AF119" s="251"/>
      <c r="AG119" s="251"/>
      <c r="AH119" s="251"/>
      <c r="AI119" s="251"/>
      <c r="AJ119" s="251"/>
      <c r="AK119" s="319">
        <f t="shared" si="289"/>
        <v>0</v>
      </c>
      <c r="AL119" s="255"/>
      <c r="AM119" s="495">
        <f t="shared" si="270"/>
        <v>0</v>
      </c>
      <c r="AN119" s="251">
        <v>0</v>
      </c>
      <c r="AO119" s="253"/>
      <c r="AP119" s="495">
        <v>0</v>
      </c>
      <c r="AQ119" s="251">
        <v>0</v>
      </c>
      <c r="AR119" s="258"/>
      <c r="AS119" s="256">
        <f t="shared" si="272"/>
        <v>0</v>
      </c>
      <c r="AT119" s="319">
        <f t="shared" si="273"/>
        <v>30000</v>
      </c>
      <c r="AU119" s="259">
        <f t="shared" si="219"/>
        <v>1</v>
      </c>
      <c r="AV119" s="191">
        <v>0</v>
      </c>
      <c r="AW119" s="261">
        <v>0</v>
      </c>
      <c r="AX119" s="191">
        <f>M119</f>
        <v>30000</v>
      </c>
      <c r="AY119" s="498">
        <f t="shared" si="284"/>
        <v>1</v>
      </c>
      <c r="AZ119" s="176">
        <f t="shared" si="276"/>
        <v>0</v>
      </c>
      <c r="BA119" s="262">
        <f t="shared" si="221"/>
        <v>0</v>
      </c>
      <c r="BB119" s="176">
        <v>0</v>
      </c>
      <c r="BC119" s="262">
        <v>0</v>
      </c>
      <c r="BD119" s="176">
        <f t="shared" si="288"/>
        <v>0</v>
      </c>
      <c r="BE119" s="262">
        <f t="shared" si="260"/>
        <v>0</v>
      </c>
      <c r="BF119" s="191">
        <f t="shared" si="274"/>
        <v>30000</v>
      </c>
      <c r="BG119" s="498">
        <f t="shared" si="277"/>
        <v>1</v>
      </c>
      <c r="BH119" s="176">
        <v>0</v>
      </c>
      <c r="BI119" s="498">
        <v>0</v>
      </c>
      <c r="BJ119" s="176">
        <f>'[1]тыс. руб 1 знак'!$AX$116+9822.0316</f>
        <v>30000</v>
      </c>
      <c r="BK119" s="498">
        <f t="shared" si="278"/>
        <v>1</v>
      </c>
      <c r="BL119" s="176">
        <f t="shared" si="279"/>
        <v>0</v>
      </c>
      <c r="BM119" s="500">
        <f t="shared" si="280"/>
        <v>0</v>
      </c>
      <c r="BN119" s="176">
        <v>0</v>
      </c>
      <c r="BO119" s="498">
        <v>0</v>
      </c>
      <c r="BP119" s="176">
        <f t="shared" si="281"/>
        <v>0</v>
      </c>
      <c r="BQ119" s="498">
        <f t="shared" si="262"/>
        <v>0</v>
      </c>
      <c r="BR119" s="176">
        <f t="shared" si="282"/>
        <v>0</v>
      </c>
      <c r="BS119" s="263">
        <f t="shared" si="246"/>
        <v>0</v>
      </c>
      <c r="BT119" s="176">
        <v>0</v>
      </c>
      <c r="BU119" s="259">
        <v>0</v>
      </c>
      <c r="BV119" s="176">
        <f t="shared" si="283"/>
        <v>0</v>
      </c>
      <c r="BW119" s="263">
        <f t="shared" si="263"/>
        <v>0</v>
      </c>
      <c r="BX119" s="303"/>
      <c r="BY119" s="265"/>
      <c r="BZ119" s="176"/>
      <c r="CA119" s="265"/>
      <c r="CB119" s="277"/>
      <c r="CC119" s="265"/>
      <c r="CD119" s="176"/>
      <c r="CE119" s="265"/>
      <c r="CF119" s="176"/>
      <c r="CG119" s="176"/>
      <c r="CH119" s="176"/>
      <c r="CI119" s="272"/>
      <c r="CJ119" s="176"/>
      <c r="CK119" s="273"/>
    </row>
    <row r="120" spans="2:90" s="42" customFormat="1" ht="75" hidden="1" customHeight="1">
      <c r="B120" s="493" t="s">
        <v>190</v>
      </c>
      <c r="C120" s="423" t="s">
        <v>193</v>
      </c>
      <c r="D120" s="494"/>
      <c r="E120" s="249"/>
      <c r="F120" s="249"/>
      <c r="G120" s="249"/>
      <c r="H120" s="249"/>
      <c r="I120" s="306"/>
      <c r="J120" s="306"/>
      <c r="K120" s="251">
        <f t="shared" si="287"/>
        <v>4760.5</v>
      </c>
      <c r="L120" s="251">
        <v>0</v>
      </c>
      <c r="M120" s="251">
        <v>4760.5</v>
      </c>
      <c r="N120" s="251">
        <f t="shared" si="291"/>
        <v>0</v>
      </c>
      <c r="O120" s="251">
        <v>0</v>
      </c>
      <c r="P120" s="251">
        <f t="shared" si="292"/>
        <v>0</v>
      </c>
      <c r="Q120" s="249">
        <f t="shared" ref="Q120:Q121" si="293">S120</f>
        <v>4760.5</v>
      </c>
      <c r="R120" s="249"/>
      <c r="S120" s="249">
        <f t="shared" ref="S120:S121" si="294">M120</f>
        <v>4760.5</v>
      </c>
      <c r="T120" s="251"/>
      <c r="U120" s="253"/>
      <c r="V120" s="251"/>
      <c r="W120" s="253"/>
      <c r="X120" s="251"/>
      <c r="Y120" s="253"/>
      <c r="Z120" s="251"/>
      <c r="AA120" s="253"/>
      <c r="AB120" s="251"/>
      <c r="AC120" s="254"/>
      <c r="AD120" s="251"/>
      <c r="AE120" s="251"/>
      <c r="AF120" s="251"/>
      <c r="AG120" s="251"/>
      <c r="AH120" s="251"/>
      <c r="AI120" s="251"/>
      <c r="AJ120" s="251"/>
      <c r="AK120" s="319">
        <f t="shared" si="289"/>
        <v>0</v>
      </c>
      <c r="AL120" s="255"/>
      <c r="AM120" s="495">
        <f t="shared" si="270"/>
        <v>0</v>
      </c>
      <c r="AN120" s="251">
        <v>0</v>
      </c>
      <c r="AO120" s="253"/>
      <c r="AP120" s="495">
        <v>0</v>
      </c>
      <c r="AQ120" s="251">
        <v>0</v>
      </c>
      <c r="AR120" s="258"/>
      <c r="AS120" s="256">
        <f t="shared" si="272"/>
        <v>0</v>
      </c>
      <c r="AT120" s="319">
        <f t="shared" si="273"/>
        <v>4760.5</v>
      </c>
      <c r="AU120" s="259">
        <f t="shared" si="219"/>
        <v>1</v>
      </c>
      <c r="AV120" s="191">
        <v>0</v>
      </c>
      <c r="AW120" s="261">
        <v>0</v>
      </c>
      <c r="AX120" s="176">
        <f>M120</f>
        <v>4760.5</v>
      </c>
      <c r="AY120" s="498">
        <f t="shared" si="284"/>
        <v>1</v>
      </c>
      <c r="AZ120" s="176">
        <f t="shared" si="276"/>
        <v>0</v>
      </c>
      <c r="BA120" s="262">
        <f t="shared" si="221"/>
        <v>0</v>
      </c>
      <c r="BB120" s="176">
        <v>0</v>
      </c>
      <c r="BC120" s="262">
        <v>0</v>
      </c>
      <c r="BD120" s="176">
        <f t="shared" si="288"/>
        <v>0</v>
      </c>
      <c r="BE120" s="262">
        <f t="shared" si="260"/>
        <v>0</v>
      </c>
      <c r="BF120" s="176">
        <f t="shared" si="274"/>
        <v>4760.5</v>
      </c>
      <c r="BG120" s="498">
        <v>0</v>
      </c>
      <c r="BH120" s="176">
        <v>0</v>
      </c>
      <c r="BI120" s="498">
        <v>0</v>
      </c>
      <c r="BJ120" s="176">
        <f>AX120</f>
        <v>4760.5</v>
      </c>
      <c r="BK120" s="498">
        <v>0</v>
      </c>
      <c r="BL120" s="176">
        <f t="shared" si="279"/>
        <v>0</v>
      </c>
      <c r="BM120" s="500">
        <v>0</v>
      </c>
      <c r="BN120" s="176">
        <v>0</v>
      </c>
      <c r="BO120" s="498">
        <v>0</v>
      </c>
      <c r="BP120" s="176">
        <f t="shared" si="281"/>
        <v>0</v>
      </c>
      <c r="BQ120" s="498">
        <v>0</v>
      </c>
      <c r="BR120" s="176">
        <f t="shared" si="282"/>
        <v>0</v>
      </c>
      <c r="BS120" s="263">
        <f t="shared" si="246"/>
        <v>0</v>
      </c>
      <c r="BT120" s="176">
        <v>0</v>
      </c>
      <c r="BU120" s="259">
        <v>0</v>
      </c>
      <c r="BV120" s="176">
        <f t="shared" si="283"/>
        <v>0</v>
      </c>
      <c r="BW120" s="263">
        <f t="shared" si="263"/>
        <v>0</v>
      </c>
      <c r="BX120" s="423" t="s">
        <v>194</v>
      </c>
      <c r="BY120" s="265"/>
      <c r="BZ120" s="176"/>
      <c r="CA120" s="265"/>
      <c r="CB120" s="277"/>
      <c r="CC120" s="265"/>
      <c r="CD120" s="176"/>
      <c r="CE120" s="265"/>
      <c r="CF120" s="176"/>
      <c r="CG120" s="176"/>
      <c r="CH120" s="176"/>
      <c r="CI120" s="272"/>
      <c r="CJ120" s="176"/>
      <c r="CK120" s="273"/>
    </row>
    <row r="121" spans="2:90" s="42" customFormat="1" ht="77.25" hidden="1" customHeight="1" thickBot="1">
      <c r="B121" s="493" t="s">
        <v>195</v>
      </c>
      <c r="C121" s="423" t="s">
        <v>196</v>
      </c>
      <c r="D121" s="317"/>
      <c r="E121" s="320"/>
      <c r="F121" s="320"/>
      <c r="G121" s="320"/>
      <c r="H121" s="320"/>
      <c r="I121" s="507"/>
      <c r="J121" s="507"/>
      <c r="K121" s="319">
        <f t="shared" si="287"/>
        <v>5953.5540000000001</v>
      </c>
      <c r="L121" s="251">
        <v>0</v>
      </c>
      <c r="M121" s="319">
        <v>5953.5540000000001</v>
      </c>
      <c r="N121" s="319">
        <f t="shared" si="291"/>
        <v>0</v>
      </c>
      <c r="O121" s="319">
        <v>0</v>
      </c>
      <c r="P121" s="319">
        <f t="shared" si="292"/>
        <v>0</v>
      </c>
      <c r="Q121" s="320">
        <f t="shared" si="293"/>
        <v>5953.5540000000001</v>
      </c>
      <c r="R121" s="320"/>
      <c r="S121" s="320">
        <f t="shared" si="294"/>
        <v>5953.5540000000001</v>
      </c>
      <c r="T121" s="319"/>
      <c r="U121" s="323"/>
      <c r="V121" s="319"/>
      <c r="W121" s="323"/>
      <c r="X121" s="319"/>
      <c r="Y121" s="323"/>
      <c r="Z121" s="319"/>
      <c r="AA121" s="323"/>
      <c r="AB121" s="319"/>
      <c r="AC121" s="509"/>
      <c r="AD121" s="319"/>
      <c r="AE121" s="319"/>
      <c r="AF121" s="319"/>
      <c r="AG121" s="319"/>
      <c r="AH121" s="319"/>
      <c r="AI121" s="319"/>
      <c r="AJ121" s="319"/>
      <c r="AK121" s="319">
        <f t="shared" si="289"/>
        <v>0</v>
      </c>
      <c r="AL121" s="325"/>
      <c r="AM121" s="495">
        <f t="shared" si="270"/>
        <v>0</v>
      </c>
      <c r="AN121" s="512">
        <v>0</v>
      </c>
      <c r="AO121" s="323"/>
      <c r="AP121" s="495">
        <v>0</v>
      </c>
      <c r="AQ121" s="319">
        <v>0</v>
      </c>
      <c r="AR121" s="511"/>
      <c r="AS121" s="256">
        <f t="shared" si="272"/>
        <v>0</v>
      </c>
      <c r="AT121" s="456">
        <f t="shared" si="273"/>
        <v>5953.5540000000001</v>
      </c>
      <c r="AU121" s="259">
        <f t="shared" si="219"/>
        <v>1</v>
      </c>
      <c r="AV121" s="328">
        <v>0</v>
      </c>
      <c r="AW121" s="261">
        <v>0</v>
      </c>
      <c r="AX121" s="176">
        <f>M121</f>
        <v>5953.5540000000001</v>
      </c>
      <c r="AY121" s="498">
        <f t="shared" si="284"/>
        <v>1</v>
      </c>
      <c r="AZ121" s="176">
        <f t="shared" si="276"/>
        <v>0</v>
      </c>
      <c r="BA121" s="262">
        <f t="shared" si="221"/>
        <v>0</v>
      </c>
      <c r="BB121" s="191">
        <v>0</v>
      </c>
      <c r="BC121" s="262">
        <v>0</v>
      </c>
      <c r="BD121" s="176">
        <f t="shared" si="288"/>
        <v>0</v>
      </c>
      <c r="BE121" s="330">
        <f t="shared" si="260"/>
        <v>0</v>
      </c>
      <c r="BF121" s="328">
        <f t="shared" si="274"/>
        <v>5953.5540000000001</v>
      </c>
      <c r="BG121" s="498">
        <f t="shared" si="277"/>
        <v>1</v>
      </c>
      <c r="BH121" s="328">
        <v>0</v>
      </c>
      <c r="BI121" s="498">
        <v>0</v>
      </c>
      <c r="BJ121" s="328">
        <f>5953.554</f>
        <v>5953.5540000000001</v>
      </c>
      <c r="BK121" s="498">
        <f t="shared" si="278"/>
        <v>1</v>
      </c>
      <c r="BL121" s="176">
        <f t="shared" si="279"/>
        <v>0</v>
      </c>
      <c r="BM121" s="500">
        <f t="shared" si="280"/>
        <v>0</v>
      </c>
      <c r="BN121" s="328">
        <v>0</v>
      </c>
      <c r="BO121" s="498">
        <v>0</v>
      </c>
      <c r="BP121" s="176">
        <f t="shared" si="281"/>
        <v>0</v>
      </c>
      <c r="BQ121" s="498">
        <f t="shared" si="262"/>
        <v>0</v>
      </c>
      <c r="BR121" s="176">
        <f t="shared" si="282"/>
        <v>0</v>
      </c>
      <c r="BS121" s="263">
        <f t="shared" si="246"/>
        <v>0</v>
      </c>
      <c r="BT121" s="328">
        <v>0</v>
      </c>
      <c r="BU121" s="259">
        <v>0</v>
      </c>
      <c r="BV121" s="176">
        <f t="shared" si="283"/>
        <v>0</v>
      </c>
      <c r="BW121" s="263">
        <f t="shared" si="263"/>
        <v>0</v>
      </c>
      <c r="BX121" s="513"/>
      <c r="BY121" s="265"/>
      <c r="BZ121" s="176"/>
      <c r="CA121" s="265"/>
      <c r="CB121" s="277"/>
      <c r="CC121" s="265"/>
      <c r="CD121" s="176"/>
      <c r="CE121" s="265"/>
      <c r="CF121" s="176"/>
      <c r="CG121" s="176"/>
      <c r="CH121" s="176"/>
      <c r="CI121" s="272"/>
      <c r="CJ121" s="176"/>
      <c r="CK121" s="273"/>
    </row>
    <row r="122" spans="2:90" s="72" customFormat="1" ht="60.75" hidden="1" customHeight="1" thickBot="1">
      <c r="B122" s="514">
        <v>3</v>
      </c>
      <c r="C122" s="466" t="s">
        <v>197</v>
      </c>
      <c r="D122" s="515" t="s">
        <v>198</v>
      </c>
      <c r="E122" s="537">
        <f t="shared" ref="E122" si="295">F122+G122</f>
        <v>152693.5</v>
      </c>
      <c r="F122" s="537"/>
      <c r="G122" s="537">
        <v>152693.5</v>
      </c>
      <c r="H122" s="537">
        <f t="shared" ref="H122" si="296">I122+J122</f>
        <v>-152693.5</v>
      </c>
      <c r="I122" s="537"/>
      <c r="J122" s="537">
        <f>M122-G122</f>
        <v>-152693.5</v>
      </c>
      <c r="K122" s="75">
        <f t="shared" si="287"/>
        <v>0</v>
      </c>
      <c r="L122" s="75">
        <v>0</v>
      </c>
      <c r="M122" s="75">
        <v>0</v>
      </c>
      <c r="N122" s="75">
        <f t="shared" si="291"/>
        <v>0</v>
      </c>
      <c r="O122" s="75"/>
      <c r="P122" s="75">
        <v>0</v>
      </c>
      <c r="Q122" s="74">
        <f t="shared" ref="Q122" si="297">R122+S122</f>
        <v>0</v>
      </c>
      <c r="R122" s="74"/>
      <c r="S122" s="74">
        <f>M122+P122</f>
        <v>0</v>
      </c>
      <c r="T122" s="75">
        <f>V122+X122</f>
        <v>0</v>
      </c>
      <c r="U122" s="76" t="e">
        <f t="shared" ref="U122" si="298">T122/Q122</f>
        <v>#DIV/0!</v>
      </c>
      <c r="V122" s="75">
        <v>0</v>
      </c>
      <c r="W122" s="76">
        <v>0</v>
      </c>
      <c r="X122" s="75">
        <f>X123+X129</f>
        <v>0</v>
      </c>
      <c r="Y122" s="76" t="e">
        <f t="shared" ref="Y122" si="299">X122/S122</f>
        <v>#DIV/0!</v>
      </c>
      <c r="Z122" s="75">
        <f t="shared" si="265"/>
        <v>0</v>
      </c>
      <c r="AA122" s="76" t="e">
        <f t="shared" ref="AA122" si="300">Z122/Q122</f>
        <v>#DIV/0!</v>
      </c>
      <c r="AB122" s="75">
        <f t="shared" ref="AB122" si="301">L122-V122</f>
        <v>0</v>
      </c>
      <c r="AC122" s="76">
        <v>0</v>
      </c>
      <c r="AD122" s="75">
        <f>S122-X122</f>
        <v>0</v>
      </c>
      <c r="AE122" s="75">
        <f t="shared" ref="AE122" si="302">AF122+AG122</f>
        <v>0</v>
      </c>
      <c r="AF122" s="75"/>
      <c r="AG122" s="75"/>
      <c r="AH122" s="75">
        <f t="shared" ref="AH122" si="303">AI122+AJ122</f>
        <v>0</v>
      </c>
      <c r="AI122" s="75">
        <v>0</v>
      </c>
      <c r="AJ122" s="75">
        <f>AQ122</f>
        <v>0</v>
      </c>
      <c r="AK122" s="75">
        <f>AN122+AQ122</f>
        <v>0</v>
      </c>
      <c r="AL122" s="468" t="e">
        <f t="shared" ref="AL122" si="304">AK122/AH122</f>
        <v>#DIV/0!</v>
      </c>
      <c r="AM122" s="469" t="e">
        <f>AK122/Q122</f>
        <v>#DIV/0!</v>
      </c>
      <c r="AN122" s="75">
        <v>0</v>
      </c>
      <c r="AO122" s="470" t="e">
        <f t="shared" ref="AO122" si="305">AN122/AI122</f>
        <v>#DIV/0!</v>
      </c>
      <c r="AP122" s="469">
        <v>0</v>
      </c>
      <c r="AQ122" s="75">
        <f>AQ123+AQ129</f>
        <v>0</v>
      </c>
      <c r="AR122" s="470" t="e">
        <f t="shared" ref="AR122" si="306">SUM(AQ122/AJ122)</f>
        <v>#DIV/0!</v>
      </c>
      <c r="AS122" s="469" t="e">
        <f>AQ122/M122</f>
        <v>#DIV/0!</v>
      </c>
      <c r="AT122" s="75">
        <f>AV122+AX122</f>
        <v>0</v>
      </c>
      <c r="AU122" s="259" t="e">
        <f t="shared" si="219"/>
        <v>#DIV/0!</v>
      </c>
      <c r="AV122" s="75">
        <v>0</v>
      </c>
      <c r="AW122" s="261" t="e">
        <f>AV122/L122</f>
        <v>#DIV/0!</v>
      </c>
      <c r="AX122" s="75"/>
      <c r="AY122" s="498" t="e">
        <f t="shared" si="284"/>
        <v>#DIV/0!</v>
      </c>
      <c r="AZ122" s="75">
        <f t="shared" si="267"/>
        <v>0</v>
      </c>
      <c r="BA122" s="262" t="e">
        <f t="shared" si="221"/>
        <v>#DIV/0!</v>
      </c>
      <c r="BB122" s="516">
        <f>F122-AV122</f>
        <v>0</v>
      </c>
      <c r="BC122" s="262" t="e">
        <f>BB122/L122</f>
        <v>#DIV/0!</v>
      </c>
      <c r="BD122" s="75">
        <f>BD123+BD129</f>
        <v>0</v>
      </c>
      <c r="BE122" s="151" t="e">
        <f t="shared" si="260"/>
        <v>#DIV/0!</v>
      </c>
      <c r="BF122" s="517">
        <f>BH122+BJ122</f>
        <v>0</v>
      </c>
      <c r="BG122" s="518"/>
      <c r="BH122" s="519">
        <v>0</v>
      </c>
      <c r="BI122" s="520"/>
      <c r="BJ122" s="519">
        <v>0</v>
      </c>
      <c r="BK122" s="520"/>
      <c r="BL122" s="519">
        <f t="shared" si="279"/>
        <v>0</v>
      </c>
      <c r="BM122" s="500" t="e">
        <f t="shared" si="280"/>
        <v>#DIV/0!</v>
      </c>
      <c r="BN122" s="519">
        <v>0</v>
      </c>
      <c r="BO122" s="498">
        <v>0</v>
      </c>
      <c r="BP122" s="519">
        <v>0</v>
      </c>
      <c r="BQ122" s="520" t="e">
        <f t="shared" si="262"/>
        <v>#DIV/0!</v>
      </c>
      <c r="BR122" s="519">
        <f t="shared" si="282"/>
        <v>0</v>
      </c>
      <c r="BS122" s="263" t="e">
        <f t="shared" si="246"/>
        <v>#DIV/0!</v>
      </c>
      <c r="BT122" s="519">
        <v>0</v>
      </c>
      <c r="BU122" s="259">
        <v>0</v>
      </c>
      <c r="BV122" s="519">
        <v>0</v>
      </c>
      <c r="BW122" s="263" t="e">
        <f t="shared" si="263"/>
        <v>#DIV/0!</v>
      </c>
      <c r="BX122" s="521"/>
      <c r="BY122" s="475" t="e">
        <f>AD122/S122</f>
        <v>#DIV/0!</v>
      </c>
      <c r="BZ122" s="476" t="e">
        <f t="shared" ref="BZ122" si="307">CB122+CD122</f>
        <v>#REF!</v>
      </c>
      <c r="CA122" s="475" t="e">
        <f>BZ122/BT122</f>
        <v>#REF!</v>
      </c>
      <c r="CB122" s="476" t="e">
        <f>#REF!-#REF!</f>
        <v>#REF!</v>
      </c>
      <c r="CC122" s="475" t="e">
        <f>CB122/BV122</f>
        <v>#REF!</v>
      </c>
      <c r="CD122" s="476" t="e">
        <f>#REF!-BX122</f>
        <v>#REF!</v>
      </c>
      <c r="CE122" s="475" t="e">
        <f>AJ122/S122</f>
        <v>#DIV/0!</v>
      </c>
      <c r="CF122" s="476" t="s">
        <v>158</v>
      </c>
      <c r="CG122" s="476" t="s">
        <v>81</v>
      </c>
      <c r="CH122" s="476">
        <f t="shared" ref="CH122" si="308">CI122+CJ122</f>
        <v>0</v>
      </c>
      <c r="CI122" s="477"/>
      <c r="CJ122" s="476">
        <f t="shared" ref="CJ122" si="309">CK122+CL122</f>
        <v>0</v>
      </c>
      <c r="CK122" s="478"/>
    </row>
    <row r="123" spans="2:90" s="3" customFormat="1" ht="50.25" hidden="1" customHeight="1" thickBot="1">
      <c r="B123" s="522"/>
      <c r="C123" s="523"/>
      <c r="D123" s="524"/>
      <c r="E123" s="525">
        <f t="shared" si="209"/>
        <v>0</v>
      </c>
      <c r="F123" s="525"/>
      <c r="G123" s="525"/>
      <c r="H123" s="525">
        <f t="shared" si="210"/>
        <v>0</v>
      </c>
      <c r="I123" s="526"/>
      <c r="J123" s="526">
        <f>M123-G123</f>
        <v>0</v>
      </c>
      <c r="K123" s="527">
        <f t="shared" si="211"/>
        <v>0</v>
      </c>
      <c r="L123" s="527"/>
      <c r="M123" s="527"/>
      <c r="N123" s="527">
        <f t="shared" si="212"/>
        <v>0</v>
      </c>
      <c r="O123" s="528"/>
      <c r="P123" s="528">
        <f>S123-M123</f>
        <v>0</v>
      </c>
      <c r="Q123" s="529">
        <f t="shared" si="213"/>
        <v>0</v>
      </c>
      <c r="R123" s="529"/>
      <c r="S123" s="529"/>
      <c r="T123" s="527"/>
      <c r="U123" s="193" t="e">
        <f t="shared" si="232"/>
        <v>#DIV/0!</v>
      </c>
      <c r="V123" s="527"/>
      <c r="W123" s="193" t="e">
        <f t="shared" si="233"/>
        <v>#DIV/0!</v>
      </c>
      <c r="X123" s="527"/>
      <c r="Y123" s="193"/>
      <c r="Z123" s="527"/>
      <c r="AA123" s="193"/>
      <c r="AB123" s="527"/>
      <c r="AC123" s="193"/>
      <c r="AD123" s="527"/>
      <c r="AE123" s="527"/>
      <c r="AF123" s="527"/>
      <c r="AG123" s="527"/>
      <c r="AH123" s="527"/>
      <c r="AI123" s="527"/>
      <c r="AJ123" s="527"/>
      <c r="AK123" s="527"/>
      <c r="AL123" s="530"/>
      <c r="AM123" s="531"/>
      <c r="AN123" s="527"/>
      <c r="AO123" s="532"/>
      <c r="AP123" s="533"/>
      <c r="AQ123" s="527"/>
      <c r="AR123" s="534"/>
      <c r="AS123" s="534"/>
      <c r="AT123" s="527"/>
      <c r="AU123" s="259" t="e">
        <f t="shared" si="219"/>
        <v>#DIV/0!</v>
      </c>
      <c r="AV123" s="527"/>
      <c r="AW123" s="261" t="e">
        <f>AV123/L123</f>
        <v>#DIV/0!</v>
      </c>
      <c r="AX123" s="527"/>
      <c r="AY123" s="498" t="e">
        <f t="shared" si="284"/>
        <v>#DIV/0!</v>
      </c>
      <c r="AZ123" s="527"/>
      <c r="BA123" s="262" t="e">
        <f t="shared" si="221"/>
        <v>#DIV/0!</v>
      </c>
      <c r="BB123" s="527"/>
      <c r="BC123" s="262" t="e">
        <f>BB123/L123</f>
        <v>#DIV/0!</v>
      </c>
      <c r="BD123" s="527"/>
      <c r="BE123" s="143" t="e">
        <f t="shared" si="260"/>
        <v>#DIV/0!</v>
      </c>
      <c r="BF123" s="527"/>
      <c r="BG123" s="535"/>
      <c r="BH123" s="527"/>
      <c r="BI123" s="535"/>
      <c r="BJ123" s="527"/>
      <c r="BK123" s="535"/>
      <c r="BL123" s="527"/>
      <c r="BM123" s="500" t="e">
        <f t="shared" si="280"/>
        <v>#DIV/0!</v>
      </c>
      <c r="BN123" s="527"/>
      <c r="BO123" s="498">
        <v>0</v>
      </c>
      <c r="BP123" s="527"/>
      <c r="BQ123" s="535" t="e">
        <f t="shared" si="262"/>
        <v>#DIV/0!</v>
      </c>
      <c r="BR123" s="527"/>
      <c r="BS123" s="263" t="e">
        <f t="shared" si="246"/>
        <v>#DIV/0!</v>
      </c>
      <c r="BT123" s="527"/>
      <c r="BU123" s="259">
        <v>0</v>
      </c>
      <c r="BV123" s="527"/>
      <c r="BW123" s="263" t="e">
        <f t="shared" si="263"/>
        <v>#DIV/0!</v>
      </c>
      <c r="BX123" s="392"/>
      <c r="BY123" s="265"/>
      <c r="BZ123" s="176"/>
      <c r="CA123" s="265"/>
      <c r="CB123" s="176"/>
      <c r="CC123" s="265"/>
      <c r="CD123" s="176"/>
      <c r="CE123" s="265"/>
      <c r="CF123" s="176"/>
      <c r="CG123" s="396"/>
      <c r="CH123" s="176"/>
      <c r="CI123" s="396"/>
      <c r="CJ123" s="176"/>
      <c r="CK123" s="397"/>
    </row>
    <row r="124" spans="2:90" s="543" customFormat="1" ht="56.25" customHeight="1" thickBot="1">
      <c r="B124" s="1209" t="s">
        <v>199</v>
      </c>
      <c r="C124" s="1210"/>
      <c r="D124" s="467"/>
      <c r="E124" s="537" t="e">
        <f t="shared" ref="E124:J124" si="310">E20+E104+E123</f>
        <v>#REF!</v>
      </c>
      <c r="F124" s="537" t="e">
        <f t="shared" si="310"/>
        <v>#REF!</v>
      </c>
      <c r="G124" s="537" t="e">
        <f t="shared" si="310"/>
        <v>#REF!</v>
      </c>
      <c r="H124" s="537" t="e">
        <f t="shared" si="310"/>
        <v>#REF!</v>
      </c>
      <c r="I124" s="537" t="e">
        <f t="shared" si="310"/>
        <v>#REF!</v>
      </c>
      <c r="J124" s="537" t="e">
        <f t="shared" si="310"/>
        <v>#REF!</v>
      </c>
      <c r="K124" s="75">
        <f t="shared" ref="K124:AT124" si="311">K20+K104+K123+K122</f>
        <v>1153353.2566100003</v>
      </c>
      <c r="L124" s="75">
        <f t="shared" si="311"/>
        <v>1012503.0336600002</v>
      </c>
      <c r="M124" s="75">
        <f t="shared" si="311"/>
        <v>140850.22295</v>
      </c>
      <c r="N124" s="75">
        <f t="shared" si="311"/>
        <v>-10426.533810000012</v>
      </c>
      <c r="O124" s="75">
        <f t="shared" si="311"/>
        <v>-10426.533810000012</v>
      </c>
      <c r="P124" s="75">
        <f t="shared" si="311"/>
        <v>0</v>
      </c>
      <c r="Q124" s="74">
        <f t="shared" si="311"/>
        <v>1146110.1119600001</v>
      </c>
      <c r="R124" s="74">
        <f t="shared" si="311"/>
        <v>1005259.8890100002</v>
      </c>
      <c r="S124" s="74">
        <f t="shared" si="311"/>
        <v>140850.22295</v>
      </c>
      <c r="T124" s="75">
        <f t="shared" si="311"/>
        <v>1135047.86479</v>
      </c>
      <c r="U124" s="75" t="e">
        <f t="shared" si="311"/>
        <v>#DIV/0!</v>
      </c>
      <c r="V124" s="75">
        <f t="shared" si="311"/>
        <v>1042239.40567</v>
      </c>
      <c r="W124" s="75" t="e">
        <f t="shared" si="311"/>
        <v>#DIV/0!</v>
      </c>
      <c r="X124" s="75">
        <f t="shared" si="311"/>
        <v>92808.45912</v>
      </c>
      <c r="Y124" s="75" t="e">
        <f t="shared" si="311"/>
        <v>#DIV/0!</v>
      </c>
      <c r="Z124" s="75">
        <f t="shared" si="311"/>
        <v>22805.391819999975</v>
      </c>
      <c r="AA124" s="75" t="e">
        <f t="shared" si="311"/>
        <v>#DIV/0!</v>
      </c>
      <c r="AB124" s="75">
        <f t="shared" si="311"/>
        <v>-25236.372010000021</v>
      </c>
      <c r="AC124" s="75">
        <f t="shared" si="311"/>
        <v>-2.5104326041351654E-2</v>
      </c>
      <c r="AD124" s="75">
        <f t="shared" si="311"/>
        <v>48041.763829999996</v>
      </c>
      <c r="AE124" s="75" t="e">
        <f t="shared" si="311"/>
        <v>#REF!</v>
      </c>
      <c r="AF124" s="75" t="e">
        <f t="shared" si="311"/>
        <v>#REF!</v>
      </c>
      <c r="AG124" s="75" t="e">
        <f t="shared" si="311"/>
        <v>#REF!</v>
      </c>
      <c r="AH124" s="75" t="e">
        <f t="shared" si="311"/>
        <v>#REF!</v>
      </c>
      <c r="AI124" s="75" t="e">
        <f t="shared" si="311"/>
        <v>#REF!</v>
      </c>
      <c r="AJ124" s="75" t="e">
        <f t="shared" si="311"/>
        <v>#REF!</v>
      </c>
      <c r="AK124" s="75">
        <f t="shared" si="311"/>
        <v>245708.51228999998</v>
      </c>
      <c r="AL124" s="75" t="e">
        <f t="shared" si="311"/>
        <v>#REF!</v>
      </c>
      <c r="AM124" s="142" t="e">
        <f t="shared" si="311"/>
        <v>#DIV/0!</v>
      </c>
      <c r="AN124" s="75">
        <f t="shared" si="311"/>
        <v>171936.84020999999</v>
      </c>
      <c r="AO124" s="75" t="e">
        <f t="shared" si="311"/>
        <v>#REF!</v>
      </c>
      <c r="AP124" s="142">
        <f t="shared" si="311"/>
        <v>0.17103720350299345</v>
      </c>
      <c r="AQ124" s="75">
        <f t="shared" si="311"/>
        <v>73771.672079999989</v>
      </c>
      <c r="AR124" s="75" t="e">
        <f t="shared" si="311"/>
        <v>#REF!</v>
      </c>
      <c r="AS124" s="469" t="e">
        <f t="shared" si="311"/>
        <v>#DIV/0!</v>
      </c>
      <c r="AT124" s="75">
        <f t="shared" si="311"/>
        <v>1050910.80935</v>
      </c>
      <c r="AU124" s="538">
        <f t="shared" si="219"/>
        <v>0.91117860319647015</v>
      </c>
      <c r="AV124" s="75">
        <f>AV20+AV104+AV123+AV122</f>
        <v>910060.58639999991</v>
      </c>
      <c r="AW124" s="539">
        <f>AV124/L124</f>
        <v>0.89882257745965377</v>
      </c>
      <c r="AX124" s="75">
        <f>AX20+AX104+AX123+AX122</f>
        <v>140850.22295</v>
      </c>
      <c r="AY124" s="539">
        <f t="shared" si="284"/>
        <v>1</v>
      </c>
      <c r="AZ124" s="75">
        <f t="shared" ref="AZ124:BD124" si="312">AZ20+AZ104+AZ123+AZ122</f>
        <v>102442.44726000002</v>
      </c>
      <c r="BA124" s="539">
        <f t="shared" si="221"/>
        <v>8.882139680352967E-2</v>
      </c>
      <c r="BB124" s="75">
        <f t="shared" si="312"/>
        <v>102442.44726000002</v>
      </c>
      <c r="BC124" s="539">
        <f>BB124/L124</f>
        <v>0.10117742254034601</v>
      </c>
      <c r="BD124" s="75">
        <f t="shared" si="312"/>
        <v>0</v>
      </c>
      <c r="BE124" s="539">
        <f t="shared" si="260"/>
        <v>0</v>
      </c>
      <c r="BF124" s="75">
        <f t="shared" ref="BF124:BP124" si="313">BF20+BF104+BF123+BF122</f>
        <v>1050910.80935</v>
      </c>
      <c r="BG124" s="539">
        <f>BF124/AT124</f>
        <v>1</v>
      </c>
      <c r="BH124" s="75">
        <f t="shared" si="313"/>
        <v>910060.58639999991</v>
      </c>
      <c r="BI124" s="539">
        <f>BH124/AV124</f>
        <v>1</v>
      </c>
      <c r="BJ124" s="75">
        <f t="shared" si="313"/>
        <v>140850.22295</v>
      </c>
      <c r="BK124" s="539">
        <f>BJ124/AX124</f>
        <v>1</v>
      </c>
      <c r="BL124" s="75">
        <f t="shared" si="313"/>
        <v>0</v>
      </c>
      <c r="BM124" s="539">
        <f t="shared" si="280"/>
        <v>0</v>
      </c>
      <c r="BN124" s="75">
        <f t="shared" si="313"/>
        <v>0</v>
      </c>
      <c r="BO124" s="539">
        <v>0</v>
      </c>
      <c r="BP124" s="75">
        <f t="shared" si="313"/>
        <v>0</v>
      </c>
      <c r="BQ124" s="539">
        <f t="shared" si="262"/>
        <v>0</v>
      </c>
      <c r="BR124" s="75">
        <f t="shared" ref="BR124" si="314">BR20+BR104+BR123+BR122</f>
        <v>102442.44726000009</v>
      </c>
      <c r="BS124" s="538">
        <f t="shared" si="246"/>
        <v>8.882139680352974E-2</v>
      </c>
      <c r="BT124" s="75">
        <f t="shared" ref="BT124" si="315">BT20+BT104+BT123+BT122</f>
        <v>102442.44726000009</v>
      </c>
      <c r="BU124" s="538">
        <v>0</v>
      </c>
      <c r="BV124" s="75">
        <f t="shared" ref="BV124" si="316">BV20+BV104+BV123+BV122</f>
        <v>0</v>
      </c>
      <c r="BW124" s="538">
        <f t="shared" si="263"/>
        <v>0</v>
      </c>
      <c r="BX124" s="540"/>
      <c r="BY124" s="475">
        <f>AD124/S124</f>
        <v>0.34108404533412917</v>
      </c>
      <c r="BZ124" s="476" t="e">
        <f>BZ20+BZ104+BZ123</f>
        <v>#REF!</v>
      </c>
      <c r="CA124" s="475" t="e">
        <f>BZ124/BT124</f>
        <v>#REF!</v>
      </c>
      <c r="CB124" s="476" t="e">
        <f>CB20+CB104+CB123</f>
        <v>#REF!</v>
      </c>
      <c r="CC124" s="475" t="e">
        <f>CB124/BV124</f>
        <v>#REF!</v>
      </c>
      <c r="CD124" s="476" t="e">
        <f>CD20+CD104+CD123</f>
        <v>#REF!</v>
      </c>
      <c r="CE124" s="475" t="e">
        <f t="shared" si="239"/>
        <v>#REF!</v>
      </c>
      <c r="CF124" s="476" t="s">
        <v>200</v>
      </c>
      <c r="CG124" s="476" t="s">
        <v>66</v>
      </c>
      <c r="CH124" s="476">
        <f>CH20+CH104+CH123</f>
        <v>0</v>
      </c>
      <c r="CI124" s="541"/>
      <c r="CJ124" s="476">
        <f>CJ20+CJ104+CJ123</f>
        <v>0</v>
      </c>
      <c r="CK124" s="542"/>
    </row>
    <row r="125" spans="2:90" s="553" customFormat="1" ht="40.5" hidden="1" customHeight="1" thickBot="1">
      <c r="B125" s="1201" t="s">
        <v>201</v>
      </c>
      <c r="C125" s="1202"/>
      <c r="D125" s="105"/>
      <c r="E125" s="106"/>
      <c r="F125" s="106"/>
      <c r="G125" s="106"/>
      <c r="H125" s="106"/>
      <c r="I125" s="106"/>
      <c r="J125" s="106"/>
      <c r="K125" s="107">
        <v>0</v>
      </c>
      <c r="L125" s="107">
        <v>0</v>
      </c>
      <c r="M125" s="107">
        <v>0</v>
      </c>
      <c r="N125" s="107">
        <f>O125+P125</f>
        <v>0</v>
      </c>
      <c r="O125" s="107"/>
      <c r="P125" s="107"/>
      <c r="Q125" s="106">
        <v>0</v>
      </c>
      <c r="R125" s="106">
        <v>0</v>
      </c>
      <c r="S125" s="106">
        <v>0</v>
      </c>
      <c r="T125" s="107"/>
      <c r="U125" s="108"/>
      <c r="V125" s="107"/>
      <c r="W125" s="108"/>
      <c r="X125" s="107"/>
      <c r="Y125" s="108"/>
      <c r="Z125" s="107"/>
      <c r="AA125" s="108"/>
      <c r="AB125" s="107"/>
      <c r="AC125" s="108"/>
      <c r="AD125" s="107"/>
      <c r="AE125" s="107"/>
      <c r="AF125" s="107"/>
      <c r="AG125" s="107"/>
      <c r="AH125" s="107"/>
      <c r="AI125" s="107"/>
      <c r="AJ125" s="107"/>
      <c r="AK125" s="107">
        <f>AK91+AK86+AK59+AK51+AK43+AK33</f>
        <v>24412.39964</v>
      </c>
      <c r="AL125" s="546"/>
      <c r="AM125" s="547">
        <v>0</v>
      </c>
      <c r="AN125" s="107">
        <f>AN91+AN86+AN59+AN51+AN43+AN33</f>
        <v>24412.39964</v>
      </c>
      <c r="AO125" s="548"/>
      <c r="AP125" s="547">
        <v>0</v>
      </c>
      <c r="AQ125" s="107">
        <f>AQ91+AQ86+AQ59+AQ51+AQ43+AQ33</f>
        <v>0</v>
      </c>
      <c r="AR125" s="548"/>
      <c r="AS125" s="547">
        <v>0</v>
      </c>
      <c r="AT125" s="107">
        <v>0</v>
      </c>
      <c r="AU125" s="549" t="e">
        <f t="shared" si="219"/>
        <v>#DIV/0!</v>
      </c>
      <c r="AV125" s="107">
        <v>0</v>
      </c>
      <c r="AW125" s="549" t="e">
        <f>AV125/L125</f>
        <v>#DIV/0!</v>
      </c>
      <c r="AX125" s="107">
        <v>0</v>
      </c>
      <c r="AY125" s="549" t="e">
        <f t="shared" si="284"/>
        <v>#DIV/0!</v>
      </c>
      <c r="AZ125" s="107">
        <v>0</v>
      </c>
      <c r="BA125" s="549" t="e">
        <f t="shared" si="221"/>
        <v>#DIV/0!</v>
      </c>
      <c r="BB125" s="107">
        <v>0</v>
      </c>
      <c r="BC125" s="549" t="e">
        <f>BB125/L125</f>
        <v>#DIV/0!</v>
      </c>
      <c r="BD125" s="107">
        <v>0</v>
      </c>
      <c r="BE125" s="549" t="e">
        <f t="shared" si="260"/>
        <v>#DIV/0!</v>
      </c>
      <c r="BF125" s="110">
        <v>0</v>
      </c>
      <c r="BG125" s="549" t="e">
        <f t="shared" ref="BG125:BG126" si="317">BF125/AT125</f>
        <v>#DIV/0!</v>
      </c>
      <c r="BH125" s="107">
        <v>0</v>
      </c>
      <c r="BI125" s="549" t="e">
        <f t="shared" ref="BI125:BI126" si="318">BH125/AV125</f>
        <v>#DIV/0!</v>
      </c>
      <c r="BJ125" s="107">
        <v>0</v>
      </c>
      <c r="BK125" s="549" t="e">
        <f t="shared" ref="BK125:BK126" si="319">BJ125/AX125</f>
        <v>#DIV/0!</v>
      </c>
      <c r="BL125" s="110">
        <v>0</v>
      </c>
      <c r="BM125" s="549" t="e">
        <f t="shared" si="280"/>
        <v>#DIV/0!</v>
      </c>
      <c r="BN125" s="107">
        <v>0</v>
      </c>
      <c r="BO125" s="549">
        <v>0</v>
      </c>
      <c r="BP125" s="107">
        <v>0</v>
      </c>
      <c r="BQ125" s="539" t="e">
        <f t="shared" si="262"/>
        <v>#DIV/0!</v>
      </c>
      <c r="BR125" s="110">
        <v>0</v>
      </c>
      <c r="BS125" s="538" t="e">
        <f t="shared" si="246"/>
        <v>#DIV/0!</v>
      </c>
      <c r="BT125" s="107">
        <v>0</v>
      </c>
      <c r="BU125" s="550">
        <v>0</v>
      </c>
      <c r="BV125" s="107">
        <v>0</v>
      </c>
      <c r="BW125" s="538" t="e">
        <f t="shared" si="263"/>
        <v>#DIV/0!</v>
      </c>
      <c r="BX125" s="115"/>
      <c r="BY125" s="290"/>
      <c r="BZ125" s="152"/>
      <c r="CA125" s="290"/>
      <c r="CB125" s="152"/>
      <c r="CC125" s="290"/>
      <c r="CD125" s="152"/>
      <c r="CE125" s="290"/>
      <c r="CF125" s="152"/>
      <c r="CG125" s="152"/>
      <c r="CH125" s="152"/>
      <c r="CI125" s="551"/>
      <c r="CJ125" s="152"/>
      <c r="CK125" s="552"/>
    </row>
    <row r="126" spans="2:90" s="171" customFormat="1" ht="36" hidden="1" customHeight="1" thickBot="1">
      <c r="B126" s="1211" t="s">
        <v>202</v>
      </c>
      <c r="C126" s="1212"/>
      <c r="D126" s="554"/>
      <c r="E126" s="555" t="e">
        <f>F126+G126</f>
        <v>#REF!</v>
      </c>
      <c r="F126" s="554" t="e">
        <f>F124-#REF!</f>
        <v>#REF!</v>
      </c>
      <c r="G126" s="554" t="e">
        <f>G124-#REF!</f>
        <v>#REF!</v>
      </c>
      <c r="H126" s="555" t="e">
        <f>I126+J126</f>
        <v>#REF!</v>
      </c>
      <c r="I126" s="554" t="e">
        <f>I124-#REF!</f>
        <v>#REF!</v>
      </c>
      <c r="J126" s="554" t="e">
        <f>J124-#REF!</f>
        <v>#REF!</v>
      </c>
      <c r="K126" s="556">
        <f>K124</f>
        <v>1153353.2566100003</v>
      </c>
      <c r="L126" s="556">
        <f t="shared" ref="L126:BP126" si="320">L124</f>
        <v>1012503.0336600002</v>
      </c>
      <c r="M126" s="556">
        <f t="shared" si="320"/>
        <v>140850.22295</v>
      </c>
      <c r="N126" s="556">
        <f t="shared" si="320"/>
        <v>-10426.533810000012</v>
      </c>
      <c r="O126" s="556">
        <f t="shared" si="320"/>
        <v>-10426.533810000012</v>
      </c>
      <c r="P126" s="556">
        <f t="shared" si="320"/>
        <v>0</v>
      </c>
      <c r="Q126" s="555">
        <f t="shared" si="320"/>
        <v>1146110.1119600001</v>
      </c>
      <c r="R126" s="555">
        <f t="shared" si="320"/>
        <v>1005259.8890100002</v>
      </c>
      <c r="S126" s="555">
        <f t="shared" si="320"/>
        <v>140850.22295</v>
      </c>
      <c r="T126" s="556">
        <f t="shared" si="320"/>
        <v>1135047.86479</v>
      </c>
      <c r="U126" s="46">
        <f t="shared" si="232"/>
        <v>0.99034800665785749</v>
      </c>
      <c r="V126" s="556">
        <f t="shared" si="320"/>
        <v>1042239.40567</v>
      </c>
      <c r="W126" s="46">
        <f t="shared" si="233"/>
        <v>1.0367860262448332</v>
      </c>
      <c r="X126" s="556">
        <f t="shared" si="320"/>
        <v>92808.45912</v>
      </c>
      <c r="Y126" s="46">
        <f t="shared" si="234"/>
        <v>0.65891595466587083</v>
      </c>
      <c r="Z126" s="556">
        <f t="shared" si="320"/>
        <v>22805.391819999975</v>
      </c>
      <c r="AA126" s="46">
        <f t="shared" si="235"/>
        <v>1.9898080980194594E-2</v>
      </c>
      <c r="AB126" s="556">
        <f t="shared" si="320"/>
        <v>-25236.372010000021</v>
      </c>
      <c r="AC126" s="46">
        <f t="shared" si="236"/>
        <v>-2.5104326041351654E-2</v>
      </c>
      <c r="AD126" s="556">
        <f t="shared" si="320"/>
        <v>48041.763829999996</v>
      </c>
      <c r="AE126" s="556" t="e">
        <f t="shared" si="320"/>
        <v>#REF!</v>
      </c>
      <c r="AF126" s="556" t="e">
        <f t="shared" si="320"/>
        <v>#REF!</v>
      </c>
      <c r="AG126" s="556" t="e">
        <f t="shared" si="320"/>
        <v>#REF!</v>
      </c>
      <c r="AH126" s="556" t="e">
        <f t="shared" si="320"/>
        <v>#REF!</v>
      </c>
      <c r="AI126" s="556" t="e">
        <f t="shared" si="320"/>
        <v>#REF!</v>
      </c>
      <c r="AJ126" s="556" t="e">
        <f t="shared" si="320"/>
        <v>#REF!</v>
      </c>
      <c r="AK126" s="556">
        <f>AK124-AK125</f>
        <v>221296.11265</v>
      </c>
      <c r="AL126" s="556" t="e">
        <f t="shared" si="320"/>
        <v>#REF!</v>
      </c>
      <c r="AM126" s="557" t="e">
        <f t="shared" si="320"/>
        <v>#DIV/0!</v>
      </c>
      <c r="AN126" s="556">
        <f>AN124-AN125</f>
        <v>147524.44057000001</v>
      </c>
      <c r="AO126" s="556" t="e">
        <f t="shared" si="320"/>
        <v>#REF!</v>
      </c>
      <c r="AP126" s="557">
        <f t="shared" si="320"/>
        <v>0.17103720350299345</v>
      </c>
      <c r="AQ126" s="556">
        <f>AQ124-AQ125</f>
        <v>73771.672079999989</v>
      </c>
      <c r="AR126" s="556" t="e">
        <f t="shared" si="320"/>
        <v>#REF!</v>
      </c>
      <c r="AS126" s="557" t="e">
        <f t="shared" si="320"/>
        <v>#DIV/0!</v>
      </c>
      <c r="AT126" s="556">
        <f>AT124-AT125</f>
        <v>1050910.80935</v>
      </c>
      <c r="AU126" s="558">
        <f t="shared" si="219"/>
        <v>0.91117860319647015</v>
      </c>
      <c r="AV126" s="556">
        <f>AV124-AV125</f>
        <v>910060.58639999991</v>
      </c>
      <c r="AW126" s="558">
        <f>AV126/L126</f>
        <v>0.89882257745965377</v>
      </c>
      <c r="AX126" s="556">
        <f>AX124-AX125</f>
        <v>140850.22295</v>
      </c>
      <c r="AY126" s="558">
        <f t="shared" si="284"/>
        <v>1</v>
      </c>
      <c r="AZ126" s="556">
        <f>AZ124-AZ125</f>
        <v>102442.44726000002</v>
      </c>
      <c r="BA126" s="558">
        <f t="shared" si="221"/>
        <v>8.882139680352967E-2</v>
      </c>
      <c r="BB126" s="556">
        <f>BB124-BB125</f>
        <v>102442.44726000002</v>
      </c>
      <c r="BC126" s="558">
        <f>BB126/L126</f>
        <v>0.10117742254034601</v>
      </c>
      <c r="BD126" s="556">
        <f>BD124-BD125</f>
        <v>0</v>
      </c>
      <c r="BE126" s="558">
        <f t="shared" si="260"/>
        <v>0</v>
      </c>
      <c r="BF126" s="556">
        <f t="shared" ref="BF126:BJ126" si="321">BF124-BF125</f>
        <v>1050910.80935</v>
      </c>
      <c r="BG126" s="558">
        <f t="shared" si="317"/>
        <v>1</v>
      </c>
      <c r="BH126" s="556">
        <f t="shared" si="321"/>
        <v>910060.58639999991</v>
      </c>
      <c r="BI126" s="558">
        <f t="shared" si="318"/>
        <v>1</v>
      </c>
      <c r="BJ126" s="556">
        <f t="shared" si="321"/>
        <v>140850.22295</v>
      </c>
      <c r="BK126" s="558">
        <f t="shared" si="319"/>
        <v>1</v>
      </c>
      <c r="BL126" s="556">
        <f t="shared" si="320"/>
        <v>0</v>
      </c>
      <c r="BM126" s="558">
        <f t="shared" si="280"/>
        <v>0</v>
      </c>
      <c r="BN126" s="556">
        <f t="shared" si="320"/>
        <v>0</v>
      </c>
      <c r="BO126" s="558">
        <v>0</v>
      </c>
      <c r="BP126" s="556">
        <f t="shared" si="320"/>
        <v>0</v>
      </c>
      <c r="BQ126" s="558">
        <f t="shared" si="262"/>
        <v>0</v>
      </c>
      <c r="BR126" s="556">
        <f t="shared" ref="BR126" si="322">BR124</f>
        <v>102442.44726000009</v>
      </c>
      <c r="BS126" s="559">
        <f t="shared" si="246"/>
        <v>8.882139680352974E-2</v>
      </c>
      <c r="BT126" s="556">
        <f t="shared" ref="BT126" si="323">BT124</f>
        <v>102442.44726000009</v>
      </c>
      <c r="BU126" s="559">
        <v>0</v>
      </c>
      <c r="BV126" s="556">
        <f t="shared" ref="BV126" si="324">BV124</f>
        <v>0</v>
      </c>
      <c r="BW126" s="559">
        <f t="shared" si="263"/>
        <v>0</v>
      </c>
      <c r="BX126" s="560"/>
      <c r="BY126" s="265">
        <f>AD126/S126</f>
        <v>0.34108404533412917</v>
      </c>
      <c r="BZ126" s="166" t="e">
        <f t="shared" ref="BZ126" si="325">BZ124</f>
        <v>#REF!</v>
      </c>
      <c r="CA126" s="265" t="e">
        <f>BZ126/BT126</f>
        <v>#REF!</v>
      </c>
      <c r="CB126" s="166" t="e">
        <f t="shared" ref="CB126" si="326">CB124</f>
        <v>#REF!</v>
      </c>
      <c r="CC126" s="265" t="e">
        <f>CB126/BV126</f>
        <v>#REF!</v>
      </c>
      <c r="CD126" s="166" t="e">
        <f t="shared" ref="CD126" si="327">CD124</f>
        <v>#REF!</v>
      </c>
      <c r="CE126" s="265" t="e">
        <f t="shared" si="239"/>
        <v>#REF!</v>
      </c>
      <c r="CF126" s="153" t="str">
        <f>CF124</f>
        <v>14,028км/475,59пог.м</v>
      </c>
      <c r="CG126" s="153" t="str">
        <f>CG124</f>
        <v>22,3км</v>
      </c>
      <c r="CH126" s="166">
        <f t="shared" ref="CH126" si="328">CH124</f>
        <v>0</v>
      </c>
      <c r="CI126" s="169"/>
      <c r="CJ126" s="166">
        <f t="shared" ref="CJ126" si="329">CJ124</f>
        <v>0</v>
      </c>
      <c r="CK126" s="170"/>
      <c r="CL126" s="561"/>
    </row>
    <row r="127" spans="2:90" ht="42.75" customHeight="1" thickBot="1">
      <c r="B127" s="1213" t="s">
        <v>203</v>
      </c>
      <c r="C127" s="1214"/>
      <c r="D127" s="1214"/>
      <c r="E127" s="1214"/>
      <c r="F127" s="1214"/>
      <c r="G127" s="1214"/>
      <c r="H127" s="1214"/>
      <c r="I127" s="1214"/>
      <c r="J127" s="1214"/>
      <c r="K127" s="1214"/>
      <c r="L127" s="1214"/>
      <c r="M127" s="1214"/>
      <c r="N127" s="1214"/>
      <c r="O127" s="1214"/>
      <c r="P127" s="1214"/>
      <c r="Q127" s="1214"/>
      <c r="R127" s="1214"/>
      <c r="S127" s="1214"/>
      <c r="T127" s="1214"/>
      <c r="U127" s="1214"/>
      <c r="V127" s="1214"/>
      <c r="W127" s="1214"/>
      <c r="X127" s="1214"/>
      <c r="Y127" s="1214"/>
      <c r="Z127" s="1214"/>
      <c r="AA127" s="1214"/>
      <c r="AB127" s="1214"/>
      <c r="AC127" s="1214"/>
      <c r="AD127" s="1214"/>
      <c r="AE127" s="1214"/>
      <c r="AF127" s="1214"/>
      <c r="AG127" s="1214"/>
      <c r="AH127" s="1214"/>
      <c r="AI127" s="1214"/>
      <c r="AJ127" s="1214"/>
      <c r="AK127" s="1214"/>
      <c r="AL127" s="1214"/>
      <c r="AM127" s="1214"/>
      <c r="AN127" s="1214"/>
      <c r="AO127" s="1214"/>
      <c r="AP127" s="1214"/>
      <c r="AQ127" s="1214"/>
      <c r="AR127" s="1214"/>
      <c r="AS127" s="1214"/>
      <c r="AT127" s="1214"/>
      <c r="AU127" s="1214"/>
      <c r="AV127" s="1214"/>
      <c r="AW127" s="1214"/>
      <c r="AX127" s="1214"/>
      <c r="AY127" s="1214"/>
      <c r="AZ127" s="1214"/>
      <c r="BA127" s="1214"/>
      <c r="BB127" s="1214"/>
      <c r="BC127" s="1214"/>
      <c r="BD127" s="1214"/>
      <c r="BE127" s="1214"/>
      <c r="BF127" s="1214"/>
      <c r="BG127" s="1214"/>
      <c r="BH127" s="1214"/>
      <c r="BI127" s="1214"/>
      <c r="BJ127" s="1214"/>
      <c r="BK127" s="1214"/>
      <c r="BL127" s="1214"/>
      <c r="BM127" s="1214"/>
      <c r="BN127" s="1214"/>
      <c r="BO127" s="1214"/>
      <c r="BP127" s="1214"/>
      <c r="BQ127" s="1214"/>
      <c r="BR127" s="1214"/>
      <c r="BS127" s="1214"/>
      <c r="BT127" s="1214"/>
      <c r="BU127" s="1214"/>
      <c r="BV127" s="1214"/>
      <c r="BW127" s="1214"/>
      <c r="BX127" s="1214"/>
      <c r="BY127" s="1206"/>
      <c r="BZ127" s="1206"/>
      <c r="CA127" s="1206"/>
      <c r="CB127" s="1206"/>
      <c r="CC127" s="1206"/>
      <c r="CD127" s="1206"/>
      <c r="CE127" s="1206"/>
      <c r="CF127" s="1206"/>
      <c r="CG127" s="1206"/>
      <c r="CH127" s="1206"/>
      <c r="CI127" s="1206"/>
      <c r="CJ127" s="1206"/>
      <c r="CK127" s="1207"/>
    </row>
    <row r="128" spans="2:90" s="571" customFormat="1" ht="36" customHeight="1" thickBot="1">
      <c r="B128" s="562">
        <v>3</v>
      </c>
      <c r="C128" s="563" t="s">
        <v>204</v>
      </c>
      <c r="D128" s="563" t="s">
        <v>205</v>
      </c>
      <c r="E128" s="563">
        <f>F128+G128</f>
        <v>5443712.9222099995</v>
      </c>
      <c r="F128" s="563">
        <f>F129+F136+F144+F147</f>
        <v>5372725.2469699997</v>
      </c>
      <c r="G128" s="563">
        <f>G129+G136+G144+G147</f>
        <v>70987.675240000011</v>
      </c>
      <c r="H128" s="563">
        <f>I128+J128</f>
        <v>495195.19278000033</v>
      </c>
      <c r="I128" s="563">
        <f>I129+I136+I144+I147</f>
        <v>560380.56458000035</v>
      </c>
      <c r="J128" s="563">
        <f>J129+J136+J144+J147</f>
        <v>-65185.371800000008</v>
      </c>
      <c r="K128" s="519">
        <f t="shared" ref="K128:K135" si="330">L128+M128</f>
        <v>5969146.2352700001</v>
      </c>
      <c r="L128" s="519">
        <f>L129+L136+L144+L147</f>
        <v>5963343.9318300001</v>
      </c>
      <c r="M128" s="519">
        <f>M129+M136+M144+M147</f>
        <v>5802.3034399999997</v>
      </c>
      <c r="N128" s="519">
        <f>SUM(N129,N136,N144,N147)</f>
        <v>110580.68089000025</v>
      </c>
      <c r="O128" s="519">
        <f>O129+O136+O144+O147</f>
        <v>110580.68089000025</v>
      </c>
      <c r="P128" s="519">
        <f>P129+P136+P144+P147</f>
        <v>0</v>
      </c>
      <c r="Q128" s="564">
        <f>SUM(Q129,Q136,Q144,Q147)</f>
        <v>6066214.7494900003</v>
      </c>
      <c r="R128" s="564">
        <f>R129+R136+R144+R147</f>
        <v>6060412.4460500004</v>
      </c>
      <c r="S128" s="564">
        <f>S129+S136+S144+S147</f>
        <v>5802.3034399999997</v>
      </c>
      <c r="T128" s="519">
        <f>T129+T136+T144+T147</f>
        <v>6130938.32926</v>
      </c>
      <c r="U128" s="565">
        <f t="shared" si="232"/>
        <v>1.0106695167320678</v>
      </c>
      <c r="V128" s="519">
        <f>V129+V136+V144+V147</f>
        <v>6130938.32926</v>
      </c>
      <c r="W128" s="565">
        <f t="shared" si="233"/>
        <v>1.0116371424944792</v>
      </c>
      <c r="X128" s="519">
        <f>X129+X136+X144+X147</f>
        <v>0</v>
      </c>
      <c r="Y128" s="565">
        <f t="shared" si="234"/>
        <v>0</v>
      </c>
      <c r="Z128" s="519">
        <f>AB128+AD128</f>
        <v>-64723.579769999764</v>
      </c>
      <c r="AA128" s="565">
        <f t="shared" si="235"/>
        <v>-1.0669516732067756E-2</v>
      </c>
      <c r="AB128" s="519">
        <f>AB129+AB136+AB144+AB147</f>
        <v>-70525.883209999767</v>
      </c>
      <c r="AC128" s="565">
        <f t="shared" si="236"/>
        <v>-1.1637142494479311E-2</v>
      </c>
      <c r="AD128" s="519">
        <f>AD129+AD136+AD144+AD147</f>
        <v>5802.3034399999997</v>
      </c>
      <c r="AE128" s="519">
        <f>AF128+AG128</f>
        <v>0</v>
      </c>
      <c r="AF128" s="519">
        <f>AF129+AF136+AF144+AF147</f>
        <v>0</v>
      </c>
      <c r="AG128" s="519">
        <f>AG129+AG136+AG144+AG147</f>
        <v>0</v>
      </c>
      <c r="AH128" s="519">
        <f>AI128+AJ128</f>
        <v>2692218.7074300004</v>
      </c>
      <c r="AI128" s="519">
        <f>AI129+AI136+AI144+AI147</f>
        <v>2692218.7074300004</v>
      </c>
      <c r="AJ128" s="519">
        <f>AJ129+AJ136+AJ144+AJ147</f>
        <v>0</v>
      </c>
      <c r="AK128" s="519">
        <f>AK129+AK136+AK144+AK147</f>
        <v>1704606.5472799998</v>
      </c>
      <c r="AL128" s="565">
        <f t="shared" ref="AL128:AL164" si="331">AK128/AH128</f>
        <v>0.63316050162478144</v>
      </c>
      <c r="AM128" s="565">
        <f>AK128/Q128</f>
        <v>0.28100003341017721</v>
      </c>
      <c r="AN128" s="519">
        <f>AN129+AN136+AN144+AN147</f>
        <v>1704606.5472799998</v>
      </c>
      <c r="AO128" s="565">
        <f t="shared" ref="AO128:AO164" si="332">AN128/AI128</f>
        <v>0.63316050162478144</v>
      </c>
      <c r="AP128" s="565">
        <f>AN128/R128</f>
        <v>0.28126906583577699</v>
      </c>
      <c r="AQ128" s="519">
        <f>AQ129+AQ136+AQ144+AQ147</f>
        <v>0</v>
      </c>
      <c r="AR128" s="565" t="e">
        <f t="shared" ref="AR128:AR164" si="333">AQ128/AJ128</f>
        <v>#DIV/0!</v>
      </c>
      <c r="AS128" s="565">
        <f>AQ128/S128</f>
        <v>0</v>
      </c>
      <c r="AT128" s="519">
        <f>AV128+AX128</f>
        <v>5772726.4755299995</v>
      </c>
      <c r="AU128" s="566">
        <f t="shared" ref="AU128:AU145" si="334">AT128/K128</f>
        <v>0.96709416187872699</v>
      </c>
      <c r="AV128" s="519">
        <f>AV129+AV136+AV144+AV147</f>
        <v>5766924.1720899995</v>
      </c>
      <c r="AW128" s="151">
        <f t="shared" ref="AW128:AW145" si="335">AV128/L128</f>
        <v>0.96706214466491047</v>
      </c>
      <c r="AX128" s="519">
        <f>AX129+AX136+AX144+AX147</f>
        <v>5802.3034399999997</v>
      </c>
      <c r="AY128" s="151">
        <f>AX128/M128</f>
        <v>1</v>
      </c>
      <c r="AZ128" s="519">
        <f>AZ129+AZ136+AZ144+AZ147</f>
        <v>196419.75974000013</v>
      </c>
      <c r="BA128" s="151">
        <f t="shared" ref="BA128:BA150" si="336">AZ128/K128</f>
        <v>3.2905838121272887E-2</v>
      </c>
      <c r="BB128" s="519">
        <f>BB129+BB136+BB144+BB147</f>
        <v>196419.75974000013</v>
      </c>
      <c r="BC128" s="151">
        <f t="shared" ref="BC128:BC150" si="337">BB128/L128</f>
        <v>3.2937855335089458E-2</v>
      </c>
      <c r="BD128" s="519">
        <f>BD129+BD136+BD144+BD147</f>
        <v>0</v>
      </c>
      <c r="BE128" s="151">
        <f>BD128/S128</f>
        <v>0</v>
      </c>
      <c r="BF128" s="517">
        <f>SUM(BF129,BF136,BF144,BF147)</f>
        <v>5772726.87457</v>
      </c>
      <c r="BG128" s="539">
        <f>BF128/AT128</f>
        <v>1.000000069125049</v>
      </c>
      <c r="BH128" s="519">
        <f>BH129+BH136+BH144+BH147</f>
        <v>5766924.5711300001</v>
      </c>
      <c r="BI128" s="539">
        <f>BH128/AV128</f>
        <v>1.0000000691945981</v>
      </c>
      <c r="BJ128" s="519">
        <f>BJ129+BJ136+BJ144+BJ147</f>
        <v>5802.3034399999997</v>
      </c>
      <c r="BK128" s="539">
        <f>BJ128/AX128</f>
        <v>1</v>
      </c>
      <c r="BL128" s="519">
        <f t="shared" ref="BL128:BL135" si="338">BN128+BP128</f>
        <v>-0.3990400000475347</v>
      </c>
      <c r="BM128" s="539">
        <f>BL128/AT128</f>
        <v>-6.9125048924286422E-8</v>
      </c>
      <c r="BN128" s="519">
        <f>BN129+BN136+BN144+BN147</f>
        <v>-0.3990400000475347</v>
      </c>
      <c r="BO128" s="539">
        <f>BN128/AV128</f>
        <v>-6.9194598045654205E-8</v>
      </c>
      <c r="BP128" s="519">
        <f>BP129+BP136+BP144+BP147</f>
        <v>0</v>
      </c>
      <c r="BQ128" s="539">
        <f>BP128/AX128</f>
        <v>0</v>
      </c>
      <c r="BR128" s="519">
        <f>SUM(BR129,BR136,BR144,BR147)</f>
        <v>196419.36070000019</v>
      </c>
      <c r="BS128" s="538">
        <f>BR128/K128</f>
        <v>3.2905771270841655E-2</v>
      </c>
      <c r="BT128" s="519">
        <f>BT129+BT136+BT144+BT147</f>
        <v>196419.36070000019</v>
      </c>
      <c r="BU128" s="538">
        <f>BT128/L128</f>
        <v>3.2937788419613097E-2</v>
      </c>
      <c r="BV128" s="519">
        <f>BV129+BV136+BV144+BV147</f>
        <v>0</v>
      </c>
      <c r="BW128" s="519">
        <v>0</v>
      </c>
      <c r="BX128" s="567"/>
      <c r="BY128" s="82">
        <f t="shared" ref="BY128:BY136" si="339">AD128/S128</f>
        <v>1</v>
      </c>
      <c r="BZ128" s="84" t="e">
        <f>CB128+CD128</f>
        <v>#REF!</v>
      </c>
      <c r="CA128" s="82" t="e">
        <f>BZ128/#REF!</f>
        <v>#REF!</v>
      </c>
      <c r="CB128" s="84" t="e">
        <f>CB129+CB136+CB144+CB147</f>
        <v>#REF!</v>
      </c>
      <c r="CC128" s="82" t="e">
        <f t="shared" ref="CC128:CC146" si="340">CB128/BV128</f>
        <v>#REF!</v>
      </c>
      <c r="CD128" s="84" t="e">
        <f>CD129+CD136+CD144+CD147</f>
        <v>#REF!</v>
      </c>
      <c r="CE128" s="82" t="e">
        <f t="shared" ref="CE128:CE136" si="341">AJ128/Y128</f>
        <v>#DIV/0!</v>
      </c>
      <c r="CF128" s="568" t="s">
        <v>206</v>
      </c>
      <c r="CG128" s="568" t="s">
        <v>207</v>
      </c>
      <c r="CH128" s="84">
        <f>CI128+CJ128</f>
        <v>0</v>
      </c>
      <c r="CI128" s="569"/>
      <c r="CJ128" s="84">
        <f>CK128+CL128</f>
        <v>0</v>
      </c>
      <c r="CK128" s="570"/>
    </row>
    <row r="129" spans="1:92" s="572" customFormat="1" ht="37.5" customHeight="1" thickBot="1">
      <c r="B129" s="573" t="s">
        <v>33</v>
      </c>
      <c r="C129" s="574" t="s">
        <v>208</v>
      </c>
      <c r="D129" s="481" t="s">
        <v>209</v>
      </c>
      <c r="E129" s="481">
        <f>E131+E135+E132</f>
        <v>2508317.3162799994</v>
      </c>
      <c r="F129" s="481">
        <f>F130+F135</f>
        <v>2438132.8420399996</v>
      </c>
      <c r="G129" s="481">
        <f>G130+G135</f>
        <v>70184.47424000001</v>
      </c>
      <c r="H129" s="481">
        <f>H131+H135+H132</f>
        <v>476503.23662000045</v>
      </c>
      <c r="I129" s="481">
        <f>I130+I135</f>
        <v>540885.40742000041</v>
      </c>
      <c r="J129" s="481">
        <f>J130+J135</f>
        <v>-64382.170800000007</v>
      </c>
      <c r="K129" s="54">
        <f t="shared" si="330"/>
        <v>3015058.6731800004</v>
      </c>
      <c r="L129" s="54">
        <f>L130+L134+L135+L133</f>
        <v>3009256.3697400005</v>
      </c>
      <c r="M129" s="54">
        <f>M130+M134+M135</f>
        <v>5802.3034399999997</v>
      </c>
      <c r="N129" s="161">
        <f>O129+P129</f>
        <v>13395.473900000001</v>
      </c>
      <c r="O129" s="161">
        <f>O130+O134+O135</f>
        <v>13395.473900000001</v>
      </c>
      <c r="P129" s="54">
        <f>P130+P135</f>
        <v>0</v>
      </c>
      <c r="Q129" s="53">
        <f t="shared" ref="Q129:Q135" si="342">R129+S129</f>
        <v>3014941.9804099998</v>
      </c>
      <c r="R129" s="53">
        <f>R130+R134+R135</f>
        <v>3009139.6769699999</v>
      </c>
      <c r="S129" s="53">
        <f>S130+S135</f>
        <v>5802.3034399999997</v>
      </c>
      <c r="T129" s="54">
        <f>V129+X129</f>
        <v>2926571.8543799999</v>
      </c>
      <c r="U129" s="145">
        <f t="shared" si="232"/>
        <v>0.97068927806763883</v>
      </c>
      <c r="V129" s="54">
        <f>V130+V134+V135</f>
        <v>2926571.8543799999</v>
      </c>
      <c r="W129" s="145">
        <f t="shared" si="233"/>
        <v>0.9725609870416051</v>
      </c>
      <c r="X129" s="54">
        <f>X130+X135</f>
        <v>0</v>
      </c>
      <c r="Y129" s="145">
        <f t="shared" si="234"/>
        <v>0</v>
      </c>
      <c r="Z129" s="54">
        <f t="shared" ref="Z129:Z137" si="343">AB129+AD129</f>
        <v>88370.126029999999</v>
      </c>
      <c r="AA129" s="145">
        <f t="shared" si="235"/>
        <v>2.9310721932361235E-2</v>
      </c>
      <c r="AB129" s="54">
        <f t="shared" ref="AB129:AB135" si="344">R129-V129</f>
        <v>82567.822589999996</v>
      </c>
      <c r="AC129" s="145">
        <f t="shared" si="236"/>
        <v>2.7439012958394876E-2</v>
      </c>
      <c r="AD129" s="54">
        <f>AD135</f>
        <v>5802.3034399999997</v>
      </c>
      <c r="AE129" s="54">
        <f>AE131+AE135+AE132</f>
        <v>0</v>
      </c>
      <c r="AF129" s="54">
        <f>AF130+AF135</f>
        <v>0</v>
      </c>
      <c r="AG129" s="54"/>
      <c r="AH129" s="54">
        <f>AH131+AH135+AH132</f>
        <v>1654744.1989</v>
      </c>
      <c r="AI129" s="54">
        <f>AI130+AI135</f>
        <v>1654744.1989</v>
      </c>
      <c r="AJ129" s="54">
        <f>AJ130+AJ135</f>
        <v>0</v>
      </c>
      <c r="AK129" s="54">
        <f t="shared" ref="AK129:AK135" si="345">AN129+AQ129</f>
        <v>1308788.3812499999</v>
      </c>
      <c r="AL129" s="148">
        <f t="shared" si="331"/>
        <v>0.79093093791779046</v>
      </c>
      <c r="AM129" s="148">
        <f>AK129/Q129</f>
        <v>0.43410068576909022</v>
      </c>
      <c r="AN129" s="54">
        <f>AN130+AN134+AN135</f>
        <v>1308788.3812499999</v>
      </c>
      <c r="AO129" s="148">
        <f t="shared" si="332"/>
        <v>0.79093093791779046</v>
      </c>
      <c r="AP129" s="148">
        <f>AN129/R129</f>
        <v>0.43493773029767141</v>
      </c>
      <c r="AQ129" s="54">
        <f>AQ130+AQ135</f>
        <v>0</v>
      </c>
      <c r="AR129" s="148" t="e">
        <f t="shared" si="333"/>
        <v>#DIV/0!</v>
      </c>
      <c r="AS129" s="148">
        <f t="shared" ref="AS129:AS164" si="346">AQ129/M129</f>
        <v>0</v>
      </c>
      <c r="AT129" s="54">
        <f>AV129+AX129</f>
        <v>3014121.4685499999</v>
      </c>
      <c r="AU129" s="550">
        <f t="shared" si="334"/>
        <v>0.99968915874230335</v>
      </c>
      <c r="AV129" s="54">
        <f>AV130+AV134+AV135+AV133</f>
        <v>3008319.1651099999</v>
      </c>
      <c r="AW129" s="374">
        <f t="shared" si="335"/>
        <v>0.99968855939313617</v>
      </c>
      <c r="AX129" s="54">
        <f>AX130+AX135</f>
        <v>5802.3034399999997</v>
      </c>
      <c r="AY129" s="374">
        <f>AX129/S129</f>
        <v>1</v>
      </c>
      <c r="AZ129" s="54">
        <f>BB129+BD129</f>
        <v>937.20463000032396</v>
      </c>
      <c r="BA129" s="377">
        <f t="shared" si="336"/>
        <v>3.1084125769660349E-4</v>
      </c>
      <c r="BB129" s="54">
        <f>BB130+BB135+BB134</f>
        <v>937.20463000032396</v>
      </c>
      <c r="BC129" s="377">
        <f t="shared" si="337"/>
        <v>3.114406068637144E-4</v>
      </c>
      <c r="BD129" s="54">
        <f>BD130+BD135</f>
        <v>0</v>
      </c>
      <c r="BE129" s="377">
        <f>BD129/S129</f>
        <v>0</v>
      </c>
      <c r="BF129" s="54">
        <f t="shared" ref="BF129:BF135" si="347">BH129+BJ129</f>
        <v>3014121.4685499999</v>
      </c>
      <c r="BG129" s="575">
        <f>BF129/AT129</f>
        <v>1</v>
      </c>
      <c r="BH129" s="54">
        <f>BH130+BH134+BH135+BH133</f>
        <v>3008319.1651099999</v>
      </c>
      <c r="BI129" s="575">
        <f>BH129/AV129</f>
        <v>1</v>
      </c>
      <c r="BJ129" s="54">
        <f>BJ130+BJ135</f>
        <v>5802.3034399999997</v>
      </c>
      <c r="BK129" s="549">
        <f>BJ129/AX129</f>
        <v>1</v>
      </c>
      <c r="BL129" s="54">
        <f t="shared" si="338"/>
        <v>0</v>
      </c>
      <c r="BM129" s="575">
        <f>BL129/AT129</f>
        <v>0</v>
      </c>
      <c r="BN129" s="54">
        <f>BN130+BN133+BN134+BN135</f>
        <v>0</v>
      </c>
      <c r="BO129" s="575">
        <f t="shared" ref="BO129:BO164" si="348">BN129/AV129</f>
        <v>0</v>
      </c>
      <c r="BP129" s="54">
        <f>AX129-BJ129</f>
        <v>0</v>
      </c>
      <c r="BQ129" s="575">
        <f t="shared" ref="BQ129:BQ164" si="349">BP129/AX129</f>
        <v>0</v>
      </c>
      <c r="BR129" s="54">
        <f t="shared" ref="BR129:BR150" si="350">BT129+BV129</f>
        <v>937.20463000051677</v>
      </c>
      <c r="BS129" s="576">
        <f>BR129/K129</f>
        <v>3.1084125769666746E-4</v>
      </c>
      <c r="BT129" s="54">
        <f>L129-BH129</f>
        <v>937.20463000051677</v>
      </c>
      <c r="BU129" s="576">
        <f t="shared" ref="BU129:BU164" si="351">BT129/L129</f>
        <v>3.1144060686377848E-4</v>
      </c>
      <c r="BV129" s="54">
        <f>BV130+BV134+BV135</f>
        <v>0</v>
      </c>
      <c r="BW129" s="54">
        <v>0</v>
      </c>
      <c r="BX129" s="489"/>
      <c r="BY129" s="265">
        <f t="shared" si="339"/>
        <v>1</v>
      </c>
      <c r="BZ129" s="161" t="e">
        <f t="shared" ref="BZ129:BZ137" si="352">CB129+CD129</f>
        <v>#REF!</v>
      </c>
      <c r="CA129" s="265" t="e">
        <f>BZ129/#REF!</f>
        <v>#REF!</v>
      </c>
      <c r="CB129" s="161" t="e">
        <f>BV129-#REF!</f>
        <v>#REF!</v>
      </c>
      <c r="CC129" s="265" t="e">
        <f t="shared" si="340"/>
        <v>#REF!</v>
      </c>
      <c r="CD129" s="161" t="e">
        <f>CD135</f>
        <v>#REF!</v>
      </c>
      <c r="CE129" s="577" t="e">
        <f t="shared" si="341"/>
        <v>#DIV/0!</v>
      </c>
      <c r="CF129" s="161" t="s">
        <v>81</v>
      </c>
      <c r="CG129" s="161" t="s">
        <v>81</v>
      </c>
      <c r="CH129" s="161">
        <f>CH131+CH135+CH132</f>
        <v>0</v>
      </c>
      <c r="CI129" s="578"/>
      <c r="CJ129" s="161">
        <f>CJ131+CJ135+CJ132</f>
        <v>0</v>
      </c>
      <c r="CK129" s="579"/>
    </row>
    <row r="130" spans="1:92" s="580" customFormat="1" ht="27" hidden="1" customHeight="1">
      <c r="B130" s="581"/>
      <c r="C130" s="582" t="s">
        <v>210</v>
      </c>
      <c r="D130" s="502"/>
      <c r="E130" s="502">
        <f>F130+G130</f>
        <v>2458665.6432399997</v>
      </c>
      <c r="F130" s="502">
        <f>F131+F132</f>
        <v>2396246.1689999998</v>
      </c>
      <c r="G130" s="502">
        <f>G131+G132</f>
        <v>62419.474240000003</v>
      </c>
      <c r="H130" s="502">
        <f>I130+J130</f>
        <v>469350.48313000042</v>
      </c>
      <c r="I130" s="502">
        <f>I131+I132</f>
        <v>531769.95737000043</v>
      </c>
      <c r="J130" s="502">
        <f>J131+J132</f>
        <v>-62419.474240000003</v>
      </c>
      <c r="K130" s="161">
        <f t="shared" si="330"/>
        <v>2928016.1263700002</v>
      </c>
      <c r="L130" s="161">
        <f>L131+L132</f>
        <v>2928016.1263700002</v>
      </c>
      <c r="M130" s="161">
        <f>M131+M132</f>
        <v>0</v>
      </c>
      <c r="N130" s="161">
        <f>N131+N132</f>
        <v>0</v>
      </c>
      <c r="O130" s="161">
        <f>O131+O132</f>
        <v>0</v>
      </c>
      <c r="P130" s="161">
        <f t="shared" ref="P130" si="353">P131</f>
        <v>0</v>
      </c>
      <c r="Q130" s="160">
        <f t="shared" si="342"/>
        <v>2928016.1263700002</v>
      </c>
      <c r="R130" s="160">
        <f>R131+R132</f>
        <v>2928016.1263700002</v>
      </c>
      <c r="S130" s="160">
        <f>S131+S132</f>
        <v>0</v>
      </c>
      <c r="T130" s="161">
        <f>T131+T132</f>
        <v>2874656.7596300002</v>
      </c>
      <c r="U130" s="583">
        <f t="shared" si="232"/>
        <v>0.98177627293120406</v>
      </c>
      <c r="V130" s="161">
        <f>V131+V132</f>
        <v>2874656.7596300002</v>
      </c>
      <c r="W130" s="583">
        <f t="shared" si="233"/>
        <v>0.98177627293120406</v>
      </c>
      <c r="X130" s="161">
        <f>X131+X132</f>
        <v>0</v>
      </c>
      <c r="Y130" s="583" t="e">
        <f t="shared" si="234"/>
        <v>#DIV/0!</v>
      </c>
      <c r="Z130" s="161">
        <f t="shared" si="343"/>
        <v>53359.366739999969</v>
      </c>
      <c r="AA130" s="583">
        <f t="shared" si="235"/>
        <v>1.8223727068795926E-2</v>
      </c>
      <c r="AB130" s="161">
        <f t="shared" si="344"/>
        <v>53359.366739999969</v>
      </c>
      <c r="AC130" s="583">
        <f t="shared" si="236"/>
        <v>1.8223727068795926E-2</v>
      </c>
      <c r="AD130" s="161"/>
      <c r="AE130" s="161">
        <f>AG130</f>
        <v>0</v>
      </c>
      <c r="AF130" s="161">
        <f>AF131+AF132</f>
        <v>0</v>
      </c>
      <c r="AG130" s="161"/>
      <c r="AH130" s="161">
        <f>AI130+AJ130</f>
        <v>1648670.01159</v>
      </c>
      <c r="AI130" s="161">
        <f>AI131+AI132</f>
        <v>1648670.01159</v>
      </c>
      <c r="AJ130" s="161">
        <f>AJ131+AJ132</f>
        <v>0</v>
      </c>
      <c r="AK130" s="161">
        <f t="shared" si="345"/>
        <v>1302317.6028499999</v>
      </c>
      <c r="AL130" s="164">
        <f t="shared" si="331"/>
        <v>0.78992011360358705</v>
      </c>
      <c r="AM130" s="164">
        <f>AK130/Q130</f>
        <v>0.44477815238830137</v>
      </c>
      <c r="AN130" s="161">
        <f>AN131+AN132</f>
        <v>1302317.6028499999</v>
      </c>
      <c r="AO130" s="164">
        <f t="shared" si="332"/>
        <v>0.78992011360358705</v>
      </c>
      <c r="AP130" s="164">
        <f>AN130/R130</f>
        <v>0.44477815238830137</v>
      </c>
      <c r="AQ130" s="161">
        <f>AQ131+AQ132</f>
        <v>0</v>
      </c>
      <c r="AR130" s="164" t="e">
        <f t="shared" si="333"/>
        <v>#DIV/0!</v>
      </c>
      <c r="AS130" s="164">
        <v>0</v>
      </c>
      <c r="AT130" s="161">
        <f>AT131+AT132</f>
        <v>2927815.0215699999</v>
      </c>
      <c r="AU130" s="584">
        <f t="shared" si="334"/>
        <v>0.99993131704494753</v>
      </c>
      <c r="AV130" s="161">
        <f>AV131+AV132</f>
        <v>2927815.0215699999</v>
      </c>
      <c r="AW130" s="373">
        <f t="shared" si="335"/>
        <v>0.99993131704494753</v>
      </c>
      <c r="AX130" s="161">
        <f>AX131+AX132</f>
        <v>0</v>
      </c>
      <c r="AY130" s="373">
        <v>0</v>
      </c>
      <c r="AZ130" s="176">
        <f>AZ131+AZ132</f>
        <v>201.10480000032112</v>
      </c>
      <c r="BA130" s="375">
        <f t="shared" si="336"/>
        <v>6.8682955052450553E-5</v>
      </c>
      <c r="BB130" s="176">
        <f>BB131+BB132</f>
        <v>201.10480000032112</v>
      </c>
      <c r="BC130" s="375">
        <f t="shared" si="337"/>
        <v>6.8682955052450553E-5</v>
      </c>
      <c r="BD130" s="176">
        <f>BD131+BD132</f>
        <v>0</v>
      </c>
      <c r="BE130" s="262">
        <v>0</v>
      </c>
      <c r="BF130" s="176">
        <f t="shared" si="347"/>
        <v>2927815.0215699999</v>
      </c>
      <c r="BG130" s="585">
        <f t="shared" ref="BG130:BG164" si="354">BF130/AT130</f>
        <v>1</v>
      </c>
      <c r="BH130" s="176">
        <f>BH131+BH132</f>
        <v>2927815.0215699999</v>
      </c>
      <c r="BI130" s="586">
        <f t="shared" ref="BI130:BI164" si="355">BH130/AV130</f>
        <v>1</v>
      </c>
      <c r="BJ130" s="176">
        <f>BJ131+BJ132</f>
        <v>0</v>
      </c>
      <c r="BK130" s="586">
        <v>0</v>
      </c>
      <c r="BL130" s="176">
        <f t="shared" si="338"/>
        <v>0</v>
      </c>
      <c r="BM130" s="586">
        <f t="shared" ref="BM130:BM164" si="356">BL130/AT130</f>
        <v>0</v>
      </c>
      <c r="BN130" s="176">
        <f>AV130-BH130</f>
        <v>0</v>
      </c>
      <c r="BO130" s="586">
        <f t="shared" si="348"/>
        <v>0</v>
      </c>
      <c r="BP130" s="176">
        <f t="shared" ref="BP130:BP164" si="357">AX130-BJ130</f>
        <v>0</v>
      </c>
      <c r="BQ130" s="586">
        <v>0</v>
      </c>
      <c r="BR130" s="176">
        <f t="shared" si="350"/>
        <v>201.10480000032112</v>
      </c>
      <c r="BS130" s="587">
        <f t="shared" ref="BS130:BS164" si="358">BR130/K130</f>
        <v>6.8682955052450553E-5</v>
      </c>
      <c r="BT130" s="176">
        <f t="shared" ref="BT130:BT164" si="359">L130-BH130</f>
        <v>201.10480000032112</v>
      </c>
      <c r="BU130" s="587">
        <f t="shared" si="351"/>
        <v>6.8682955052450553E-5</v>
      </c>
      <c r="BV130" s="161">
        <f>BV131+BV132</f>
        <v>0</v>
      </c>
      <c r="BW130" s="54">
        <v>0</v>
      </c>
      <c r="BX130" s="588"/>
      <c r="BY130" s="265" t="e">
        <f t="shared" si="339"/>
        <v>#DIV/0!</v>
      </c>
      <c r="BZ130" s="161" t="e">
        <f t="shared" si="352"/>
        <v>#REF!</v>
      </c>
      <c r="CA130" s="265" t="e">
        <f>BZ130/#REF!</f>
        <v>#REF!</v>
      </c>
      <c r="CB130" s="161" t="e">
        <f>BV130-#REF!</f>
        <v>#REF!</v>
      </c>
      <c r="CC130" s="265" t="e">
        <f t="shared" si="340"/>
        <v>#REF!</v>
      </c>
      <c r="CD130" s="161"/>
      <c r="CE130" s="577" t="e">
        <f t="shared" si="341"/>
        <v>#DIV/0!</v>
      </c>
      <c r="CF130" s="161">
        <f>CH130</f>
        <v>0</v>
      </c>
      <c r="CG130" s="589"/>
      <c r="CH130" s="161">
        <f>CJ130</f>
        <v>0</v>
      </c>
      <c r="CI130" s="589"/>
      <c r="CJ130" s="161">
        <f>CL130</f>
        <v>0</v>
      </c>
      <c r="CK130" s="590"/>
    </row>
    <row r="131" spans="1:92" s="580" customFormat="1" ht="38.25" hidden="1" customHeight="1">
      <c r="B131" s="581"/>
      <c r="C131" s="582" t="s">
        <v>211</v>
      </c>
      <c r="D131" s="502" t="s">
        <v>212</v>
      </c>
      <c r="E131" s="502">
        <f>F131+G131</f>
        <v>2154989.5545199998</v>
      </c>
      <c r="F131" s="502">
        <v>2154989.5545199998</v>
      </c>
      <c r="G131" s="502"/>
      <c r="H131" s="502">
        <f>I131+J131</f>
        <v>587827.97498000041</v>
      </c>
      <c r="I131" s="591">
        <f t="shared" ref="I131:J135" si="360">L131-F131</f>
        <v>587827.97498000041</v>
      </c>
      <c r="J131" s="591">
        <f t="shared" si="360"/>
        <v>0</v>
      </c>
      <c r="K131" s="161">
        <f t="shared" si="330"/>
        <v>2742817.5295000002</v>
      </c>
      <c r="L131" s="161">
        <v>2742817.5295000002</v>
      </c>
      <c r="M131" s="161">
        <v>0</v>
      </c>
      <c r="N131" s="161">
        <f>O131+P131</f>
        <v>0</v>
      </c>
      <c r="O131" s="461">
        <f>R131-L131</f>
        <v>0</v>
      </c>
      <c r="P131" s="461"/>
      <c r="Q131" s="160">
        <f t="shared" si="342"/>
        <v>2742817.5295000002</v>
      </c>
      <c r="R131" s="160">
        <f>L131</f>
        <v>2742817.5295000002</v>
      </c>
      <c r="S131" s="160"/>
      <c r="T131" s="161">
        <f>V131</f>
        <v>2624958.1677700002</v>
      </c>
      <c r="U131" s="583">
        <f t="shared" si="232"/>
        <v>0.9570298204447143</v>
      </c>
      <c r="V131" s="161">
        <v>2624958.1677700002</v>
      </c>
      <c r="W131" s="583">
        <f t="shared" si="233"/>
        <v>0.9570298204447143</v>
      </c>
      <c r="X131" s="161"/>
      <c r="Y131" s="583" t="e">
        <f t="shared" si="234"/>
        <v>#DIV/0!</v>
      </c>
      <c r="Z131" s="161">
        <f t="shared" si="343"/>
        <v>117859.36173</v>
      </c>
      <c r="AA131" s="583">
        <f t="shared" si="235"/>
        <v>4.2970179555285648E-2</v>
      </c>
      <c r="AB131" s="161">
        <f t="shared" si="344"/>
        <v>117859.36173</v>
      </c>
      <c r="AC131" s="583">
        <f t="shared" si="236"/>
        <v>4.2970179555285648E-2</v>
      </c>
      <c r="AD131" s="161"/>
      <c r="AE131" s="161">
        <f>AF131+AG131</f>
        <v>0</v>
      </c>
      <c r="AF131" s="161"/>
      <c r="AG131" s="161"/>
      <c r="AH131" s="161">
        <f>AI131+AJ131</f>
        <v>1602378.8234699999</v>
      </c>
      <c r="AI131" s="161">
        <v>1602378.8234699999</v>
      </c>
      <c r="AJ131" s="161"/>
      <c r="AK131" s="161">
        <f t="shared" si="345"/>
        <v>1247094.5115</v>
      </c>
      <c r="AL131" s="164">
        <f t="shared" si="331"/>
        <v>0.77827695500829142</v>
      </c>
      <c r="AM131" s="164">
        <f t="shared" ref="AM131:AM164" si="361">AK131/Q131</f>
        <v>0.45467644058966555</v>
      </c>
      <c r="AN131" s="161">
        <f>[2]Лист1!$L$552</f>
        <v>1247094.5115</v>
      </c>
      <c r="AO131" s="164">
        <f t="shared" si="332"/>
        <v>0.77827695500829142</v>
      </c>
      <c r="AP131" s="164">
        <f t="shared" ref="AP131:AP164" si="362">AN131/R131</f>
        <v>0.45467644058966555</v>
      </c>
      <c r="AQ131" s="161">
        <v>0</v>
      </c>
      <c r="AR131" s="164" t="e">
        <f t="shared" si="333"/>
        <v>#DIV/0!</v>
      </c>
      <c r="AS131" s="164">
        <v>0</v>
      </c>
      <c r="AT131" s="161">
        <f t="shared" ref="AT131:AT137" si="363">AV131+AX131</f>
        <v>2742817.5295000002</v>
      </c>
      <c r="AU131" s="584">
        <f t="shared" si="334"/>
        <v>1</v>
      </c>
      <c r="AV131" s="161">
        <f>BH131</f>
        <v>2742817.5295000002</v>
      </c>
      <c r="AW131" s="373">
        <f t="shared" si="335"/>
        <v>1</v>
      </c>
      <c r="AX131" s="161">
        <v>0</v>
      </c>
      <c r="AY131" s="373">
        <v>0</v>
      </c>
      <c r="AZ131" s="436">
        <f>BB131+BD131</f>
        <v>0</v>
      </c>
      <c r="BA131" s="375">
        <f t="shared" si="336"/>
        <v>0</v>
      </c>
      <c r="BB131" s="176">
        <f>L131-AV131</f>
        <v>0</v>
      </c>
      <c r="BC131" s="375">
        <f t="shared" si="337"/>
        <v>0</v>
      </c>
      <c r="BD131" s="382">
        <f>M131-AX131</f>
        <v>0</v>
      </c>
      <c r="BE131" s="262">
        <v>0</v>
      </c>
      <c r="BF131" s="176">
        <f t="shared" si="347"/>
        <v>2742817.5295000002</v>
      </c>
      <c r="BG131" s="585">
        <f t="shared" si="354"/>
        <v>1</v>
      </c>
      <c r="BH131" s="176">
        <f>L131</f>
        <v>2742817.5295000002</v>
      </c>
      <c r="BI131" s="586">
        <f t="shared" si="355"/>
        <v>1</v>
      </c>
      <c r="BJ131" s="176">
        <v>0</v>
      </c>
      <c r="BK131" s="586">
        <v>0</v>
      </c>
      <c r="BL131" s="176">
        <f t="shared" si="338"/>
        <v>0</v>
      </c>
      <c r="BM131" s="586">
        <f t="shared" si="356"/>
        <v>0</v>
      </c>
      <c r="BN131" s="176">
        <f t="shared" ref="BN131:BN135" si="364">AV131-BH131</f>
        <v>0</v>
      </c>
      <c r="BO131" s="586">
        <f t="shared" si="348"/>
        <v>0</v>
      </c>
      <c r="BP131" s="176">
        <f t="shared" si="357"/>
        <v>0</v>
      </c>
      <c r="BQ131" s="586">
        <v>0</v>
      </c>
      <c r="BR131" s="176">
        <f t="shared" si="350"/>
        <v>0</v>
      </c>
      <c r="BS131" s="587">
        <f t="shared" si="358"/>
        <v>0</v>
      </c>
      <c r="BT131" s="176">
        <f t="shared" si="359"/>
        <v>0</v>
      </c>
      <c r="BU131" s="587">
        <f t="shared" si="351"/>
        <v>0</v>
      </c>
      <c r="BV131" s="161">
        <f>M130-BJ130</f>
        <v>0</v>
      </c>
      <c r="BW131" s="54">
        <v>0</v>
      </c>
      <c r="BX131" s="588"/>
      <c r="BY131" s="265" t="e">
        <f t="shared" si="339"/>
        <v>#DIV/0!</v>
      </c>
      <c r="BZ131" s="161" t="e">
        <f t="shared" si="352"/>
        <v>#REF!</v>
      </c>
      <c r="CA131" s="265" t="e">
        <f>BZ131/#REF!</f>
        <v>#REF!</v>
      </c>
      <c r="CB131" s="161" t="e">
        <f>BV131-#REF!</f>
        <v>#REF!</v>
      </c>
      <c r="CC131" s="265" t="e">
        <f t="shared" si="340"/>
        <v>#REF!</v>
      </c>
      <c r="CD131" s="161"/>
      <c r="CE131" s="577" t="e">
        <f t="shared" si="341"/>
        <v>#DIV/0!</v>
      </c>
      <c r="CF131" s="161">
        <f>CG131+CH131</f>
        <v>0</v>
      </c>
      <c r="CG131" s="589"/>
      <c r="CH131" s="161">
        <f>CI131+CJ131</f>
        <v>0</v>
      </c>
      <c r="CI131" s="589"/>
      <c r="CJ131" s="161">
        <f>CK131+CL131</f>
        <v>0</v>
      </c>
      <c r="CK131" s="590"/>
    </row>
    <row r="132" spans="1:92" s="580" customFormat="1" ht="26.25" hidden="1" customHeight="1">
      <c r="B132" s="581"/>
      <c r="C132" s="582" t="s">
        <v>213</v>
      </c>
      <c r="D132" s="502" t="s">
        <v>212</v>
      </c>
      <c r="E132" s="502">
        <f>F132+G132</f>
        <v>303676.08872</v>
      </c>
      <c r="F132" s="502">
        <v>241256.61447999999</v>
      </c>
      <c r="G132" s="502">
        <v>62419.474240000003</v>
      </c>
      <c r="H132" s="502">
        <f>I132+J132</f>
        <v>-118477.49184999999</v>
      </c>
      <c r="I132" s="591">
        <f t="shared" si="360"/>
        <v>-56058.017609999981</v>
      </c>
      <c r="J132" s="591">
        <f t="shared" si="360"/>
        <v>-62419.474240000003</v>
      </c>
      <c r="K132" s="161">
        <f t="shared" si="330"/>
        <v>185198.59687000001</v>
      </c>
      <c r="L132" s="161">
        <f>2928016.12637-L131</f>
        <v>185198.59687000001</v>
      </c>
      <c r="M132" s="161">
        <v>0</v>
      </c>
      <c r="N132" s="161">
        <f>O132+P132</f>
        <v>0</v>
      </c>
      <c r="O132" s="461">
        <f>R132-L132</f>
        <v>0</v>
      </c>
      <c r="P132" s="461"/>
      <c r="Q132" s="160">
        <f t="shared" si="342"/>
        <v>185198.59687000001</v>
      </c>
      <c r="R132" s="160">
        <f>L132</f>
        <v>185198.59687000001</v>
      </c>
      <c r="S132" s="160"/>
      <c r="T132" s="161">
        <f t="shared" ref="T132:T135" si="365">V132</f>
        <v>249698.59186000004</v>
      </c>
      <c r="U132" s="583">
        <f t="shared" si="232"/>
        <v>1.3482747498096639</v>
      </c>
      <c r="V132" s="161">
        <f>2874656.75963-V131</f>
        <v>249698.59186000004</v>
      </c>
      <c r="W132" s="583">
        <f t="shared" si="233"/>
        <v>1.3482747498096639</v>
      </c>
      <c r="X132" s="161"/>
      <c r="Y132" s="583" t="e">
        <f t="shared" si="234"/>
        <v>#DIV/0!</v>
      </c>
      <c r="Z132" s="161">
        <f t="shared" si="343"/>
        <v>-64499.994990000036</v>
      </c>
      <c r="AA132" s="583">
        <f t="shared" si="235"/>
        <v>-0.34827474980966378</v>
      </c>
      <c r="AB132" s="161">
        <f t="shared" si="344"/>
        <v>-64499.994990000036</v>
      </c>
      <c r="AC132" s="583">
        <f t="shared" si="236"/>
        <v>-0.34827474980966378</v>
      </c>
      <c r="AD132" s="161"/>
      <c r="AE132" s="161">
        <f>AF132+AG132</f>
        <v>0</v>
      </c>
      <c r="AF132" s="161"/>
      <c r="AG132" s="161"/>
      <c r="AH132" s="161">
        <f>AI132+AJ132</f>
        <v>46291.188120000064</v>
      </c>
      <c r="AI132" s="161">
        <f>1648670.01159-AI131</f>
        <v>46291.188120000064</v>
      </c>
      <c r="AJ132" s="161"/>
      <c r="AK132" s="161">
        <f t="shared" si="345"/>
        <v>55223.091349999886</v>
      </c>
      <c r="AL132" s="164">
        <f t="shared" si="331"/>
        <v>1.1929503992605626</v>
      </c>
      <c r="AM132" s="164">
        <f t="shared" si="361"/>
        <v>0.29818309794627484</v>
      </c>
      <c r="AN132" s="161">
        <f>[2]Лист1!$L$546-[2]Лист1!$L$552</f>
        <v>55223.091349999886</v>
      </c>
      <c r="AO132" s="164">
        <f t="shared" si="332"/>
        <v>1.1929503992605626</v>
      </c>
      <c r="AP132" s="164">
        <f t="shared" si="362"/>
        <v>0.29818309794627484</v>
      </c>
      <c r="AQ132" s="161">
        <v>0</v>
      </c>
      <c r="AR132" s="164" t="e">
        <f t="shared" si="333"/>
        <v>#DIV/0!</v>
      </c>
      <c r="AS132" s="164">
        <v>0</v>
      </c>
      <c r="AT132" s="161">
        <f t="shared" si="363"/>
        <v>184997.49206999969</v>
      </c>
      <c r="AU132" s="584">
        <f t="shared" si="334"/>
        <v>0.99891411272331887</v>
      </c>
      <c r="AV132" s="161">
        <f t="shared" ref="AV132:AV135" si="366">BH132</f>
        <v>184997.49206999969</v>
      </c>
      <c r="AW132" s="373">
        <f t="shared" si="335"/>
        <v>0.99891411272331887</v>
      </c>
      <c r="AX132" s="161">
        <v>0</v>
      </c>
      <c r="AY132" s="373">
        <v>0</v>
      </c>
      <c r="AZ132" s="436">
        <f t="shared" ref="AZ132:AZ134" si="367">BB132+BD132</f>
        <v>201.10480000032112</v>
      </c>
      <c r="BA132" s="375">
        <f t="shared" si="336"/>
        <v>1.085887276681078E-3</v>
      </c>
      <c r="BB132" s="176">
        <f>L132-AV132</f>
        <v>201.10480000032112</v>
      </c>
      <c r="BC132" s="375">
        <f t="shared" si="337"/>
        <v>1.085887276681078E-3</v>
      </c>
      <c r="BD132" s="382">
        <f>M132-AX132</f>
        <v>0</v>
      </c>
      <c r="BE132" s="262">
        <v>0</v>
      </c>
      <c r="BF132" s="176">
        <f t="shared" si="347"/>
        <v>184997.49206999969</v>
      </c>
      <c r="BG132" s="585">
        <f t="shared" si="354"/>
        <v>1</v>
      </c>
      <c r="BH132" s="176">
        <f>2927815.02157-BH131</f>
        <v>184997.49206999969</v>
      </c>
      <c r="BI132" s="586">
        <f t="shared" si="355"/>
        <v>1</v>
      </c>
      <c r="BJ132" s="176">
        <v>0</v>
      </c>
      <c r="BK132" s="586">
        <v>0</v>
      </c>
      <c r="BL132" s="176">
        <f t="shared" si="338"/>
        <v>0</v>
      </c>
      <c r="BM132" s="586">
        <f t="shared" si="356"/>
        <v>0</v>
      </c>
      <c r="BN132" s="176">
        <f t="shared" si="364"/>
        <v>0</v>
      </c>
      <c r="BO132" s="586">
        <f t="shared" si="348"/>
        <v>0</v>
      </c>
      <c r="BP132" s="176">
        <f t="shared" si="357"/>
        <v>0</v>
      </c>
      <c r="BQ132" s="586">
        <v>0</v>
      </c>
      <c r="BR132" s="176">
        <f t="shared" si="350"/>
        <v>201.10480000032112</v>
      </c>
      <c r="BS132" s="587">
        <f t="shared" si="358"/>
        <v>1.085887276681078E-3</v>
      </c>
      <c r="BT132" s="176">
        <f t="shared" si="359"/>
        <v>201.10480000032112</v>
      </c>
      <c r="BU132" s="587">
        <f t="shared" si="351"/>
        <v>1.085887276681078E-3</v>
      </c>
      <c r="BV132" s="161">
        <f>M131-BJ131</f>
        <v>0</v>
      </c>
      <c r="BW132" s="54">
        <v>0</v>
      </c>
      <c r="BX132" s="588"/>
      <c r="BY132" s="265" t="e">
        <f t="shared" si="339"/>
        <v>#DIV/0!</v>
      </c>
      <c r="BZ132" s="161" t="e">
        <f t="shared" si="352"/>
        <v>#REF!</v>
      </c>
      <c r="CA132" s="265" t="e">
        <f>BZ132/#REF!</f>
        <v>#REF!</v>
      </c>
      <c r="CB132" s="161" t="e">
        <f>BV132-#REF!</f>
        <v>#REF!</v>
      </c>
      <c r="CC132" s="265" t="e">
        <f t="shared" si="340"/>
        <v>#REF!</v>
      </c>
      <c r="CD132" s="161"/>
      <c r="CE132" s="577" t="e">
        <f t="shared" si="341"/>
        <v>#DIV/0!</v>
      </c>
      <c r="CF132" s="161">
        <f>CG132+CH132</f>
        <v>0</v>
      </c>
      <c r="CG132" s="589"/>
      <c r="CH132" s="161">
        <f>CI132+CJ132</f>
        <v>0</v>
      </c>
      <c r="CI132" s="589"/>
      <c r="CJ132" s="161">
        <f>CK132+CL132</f>
        <v>0</v>
      </c>
      <c r="CK132" s="590"/>
    </row>
    <row r="133" spans="1:92" s="580" customFormat="1" ht="26.25" hidden="1" customHeight="1">
      <c r="B133" s="581"/>
      <c r="C133" s="582" t="s">
        <v>214</v>
      </c>
      <c r="D133" s="502"/>
      <c r="E133" s="502"/>
      <c r="F133" s="502"/>
      <c r="G133" s="502"/>
      <c r="H133" s="502"/>
      <c r="I133" s="591"/>
      <c r="J133" s="591"/>
      <c r="K133" s="161">
        <f t="shared" si="330"/>
        <v>13512.166670000001</v>
      </c>
      <c r="L133" s="161">
        <v>13512.166670000001</v>
      </c>
      <c r="M133" s="161"/>
      <c r="N133" s="161"/>
      <c r="O133" s="461"/>
      <c r="P133" s="461"/>
      <c r="Q133" s="160"/>
      <c r="R133" s="160"/>
      <c r="S133" s="160"/>
      <c r="T133" s="161"/>
      <c r="U133" s="583"/>
      <c r="V133" s="161"/>
      <c r="W133" s="583"/>
      <c r="X133" s="161"/>
      <c r="Y133" s="583"/>
      <c r="Z133" s="161"/>
      <c r="AA133" s="583"/>
      <c r="AB133" s="161"/>
      <c r="AC133" s="583"/>
      <c r="AD133" s="161"/>
      <c r="AE133" s="161"/>
      <c r="AF133" s="161"/>
      <c r="AG133" s="161"/>
      <c r="AH133" s="161"/>
      <c r="AI133" s="161"/>
      <c r="AJ133" s="161"/>
      <c r="AK133" s="161"/>
      <c r="AL133" s="164"/>
      <c r="AM133" s="164"/>
      <c r="AN133" s="161"/>
      <c r="AO133" s="164"/>
      <c r="AP133" s="164"/>
      <c r="AQ133" s="161"/>
      <c r="AR133" s="164"/>
      <c r="AS133" s="164"/>
      <c r="AT133" s="161">
        <f t="shared" si="363"/>
        <v>13512.166670000001</v>
      </c>
      <c r="AU133" s="584">
        <f t="shared" si="334"/>
        <v>1</v>
      </c>
      <c r="AV133" s="161">
        <f t="shared" si="366"/>
        <v>13512.166670000001</v>
      </c>
      <c r="AW133" s="373"/>
      <c r="AX133" s="161"/>
      <c r="AY133" s="373"/>
      <c r="AZ133" s="436"/>
      <c r="BA133" s="375"/>
      <c r="BB133" s="176"/>
      <c r="BC133" s="375"/>
      <c r="BD133" s="382"/>
      <c r="BE133" s="262"/>
      <c r="BF133" s="176">
        <f t="shared" si="347"/>
        <v>13512.166670000001</v>
      </c>
      <c r="BG133" s="585">
        <f>BF133/K133</f>
        <v>1</v>
      </c>
      <c r="BH133" s="176">
        <f>L133</f>
        <v>13512.166670000001</v>
      </c>
      <c r="BI133" s="586">
        <f>BH133/L133</f>
        <v>1</v>
      </c>
      <c r="BJ133" s="176"/>
      <c r="BK133" s="586">
        <v>0</v>
      </c>
      <c r="BL133" s="176">
        <f t="shared" si="338"/>
        <v>0</v>
      </c>
      <c r="BM133" s="586">
        <f t="shared" si="356"/>
        <v>0</v>
      </c>
      <c r="BN133" s="176">
        <f t="shared" si="364"/>
        <v>0</v>
      </c>
      <c r="BO133" s="586"/>
      <c r="BP133" s="176"/>
      <c r="BQ133" s="586"/>
      <c r="BR133" s="176"/>
      <c r="BS133" s="587"/>
      <c r="BT133" s="176"/>
      <c r="BU133" s="587"/>
      <c r="BV133" s="161"/>
      <c r="BW133" s="54"/>
      <c r="BX133" s="588"/>
      <c r="BY133" s="265"/>
      <c r="BZ133" s="161"/>
      <c r="CA133" s="265"/>
      <c r="CB133" s="161"/>
      <c r="CC133" s="265"/>
      <c r="CD133" s="161"/>
      <c r="CE133" s="577"/>
      <c r="CF133" s="161"/>
      <c r="CG133" s="589"/>
      <c r="CH133" s="161"/>
      <c r="CI133" s="589"/>
      <c r="CJ133" s="161"/>
      <c r="CK133" s="590"/>
    </row>
    <row r="134" spans="1:92" s="580" customFormat="1" ht="26.25" hidden="1" customHeight="1">
      <c r="B134" s="581"/>
      <c r="C134" s="582" t="s">
        <v>215</v>
      </c>
      <c r="D134" s="502"/>
      <c r="E134" s="502"/>
      <c r="F134" s="502"/>
      <c r="G134" s="502"/>
      <c r="H134" s="502"/>
      <c r="I134" s="591"/>
      <c r="J134" s="591"/>
      <c r="K134" s="161">
        <f t="shared" si="330"/>
        <v>16725.95361</v>
      </c>
      <c r="L134" s="161">
        <v>16725.95361</v>
      </c>
      <c r="M134" s="161">
        <v>0</v>
      </c>
      <c r="N134" s="161">
        <f>O134+P134</f>
        <v>13395.473900000001</v>
      </c>
      <c r="O134" s="461">
        <f>R134-L134</f>
        <v>13395.473900000001</v>
      </c>
      <c r="P134" s="461"/>
      <c r="Q134" s="160">
        <f t="shared" si="342"/>
        <v>30121.427510000001</v>
      </c>
      <c r="R134" s="160">
        <v>30121.427510000001</v>
      </c>
      <c r="S134" s="160"/>
      <c r="T134" s="161">
        <f t="shared" si="365"/>
        <v>4832.1724899999999</v>
      </c>
      <c r="U134" s="583">
        <f t="shared" si="232"/>
        <v>0.16042309045266095</v>
      </c>
      <c r="V134" s="161">
        <v>4832.1724899999999</v>
      </c>
      <c r="W134" s="583">
        <f t="shared" si="233"/>
        <v>0.16042309045266095</v>
      </c>
      <c r="X134" s="161"/>
      <c r="Y134" s="583" t="e">
        <f t="shared" si="234"/>
        <v>#DIV/0!</v>
      </c>
      <c r="Z134" s="161">
        <f t="shared" si="343"/>
        <v>25289.255020000001</v>
      </c>
      <c r="AA134" s="583">
        <f t="shared" si="235"/>
        <v>0.83957690954733899</v>
      </c>
      <c r="AB134" s="161">
        <f t="shared" si="344"/>
        <v>25289.255020000001</v>
      </c>
      <c r="AC134" s="583">
        <f t="shared" si="236"/>
        <v>0.83957690954733899</v>
      </c>
      <c r="AD134" s="161"/>
      <c r="AE134" s="161"/>
      <c r="AF134" s="161"/>
      <c r="AG134" s="161"/>
      <c r="AH134" s="161"/>
      <c r="AI134" s="161"/>
      <c r="AJ134" s="161"/>
      <c r="AK134" s="161">
        <f t="shared" si="345"/>
        <v>6470.7784000000001</v>
      </c>
      <c r="AL134" s="164"/>
      <c r="AM134" s="164">
        <f t="shared" si="361"/>
        <v>0.21482309886713599</v>
      </c>
      <c r="AN134" s="161">
        <f>6470.7784</f>
        <v>6470.7784000000001</v>
      </c>
      <c r="AO134" s="164"/>
      <c r="AP134" s="164">
        <f t="shared" si="362"/>
        <v>0.21482309886713599</v>
      </c>
      <c r="AQ134" s="161">
        <v>0</v>
      </c>
      <c r="AR134" s="164"/>
      <c r="AS134" s="164">
        <v>0</v>
      </c>
      <c r="AT134" s="161">
        <f t="shared" si="363"/>
        <v>16016.935550000002</v>
      </c>
      <c r="AU134" s="584">
        <f t="shared" si="334"/>
        <v>0.95760970785091171</v>
      </c>
      <c r="AV134" s="161">
        <f t="shared" si="366"/>
        <v>16016.935550000002</v>
      </c>
      <c r="AW134" s="373">
        <f t="shared" si="335"/>
        <v>0.95760970785091171</v>
      </c>
      <c r="AX134" s="161">
        <v>0</v>
      </c>
      <c r="AY134" s="373">
        <v>0</v>
      </c>
      <c r="AZ134" s="436">
        <f t="shared" si="367"/>
        <v>709.01805999999851</v>
      </c>
      <c r="BA134" s="375">
        <f t="shared" si="336"/>
        <v>4.2390292149088321E-2</v>
      </c>
      <c r="BB134" s="176">
        <f>L134-AV134</f>
        <v>709.01805999999851</v>
      </c>
      <c r="BC134" s="375">
        <f t="shared" si="337"/>
        <v>4.2390292149088321E-2</v>
      </c>
      <c r="BD134" s="382">
        <f>M134-AX134</f>
        <v>0</v>
      </c>
      <c r="BE134" s="262">
        <v>0</v>
      </c>
      <c r="BF134" s="176">
        <f t="shared" si="347"/>
        <v>16016.935550000002</v>
      </c>
      <c r="BG134" s="585">
        <f t="shared" si="354"/>
        <v>1</v>
      </c>
      <c r="BH134" s="176">
        <f>[3]Лист1!$M$675+1122.3767</f>
        <v>16016.935550000002</v>
      </c>
      <c r="BI134" s="586">
        <f t="shared" si="355"/>
        <v>1</v>
      </c>
      <c r="BJ134" s="176">
        <v>0</v>
      </c>
      <c r="BK134" s="586">
        <v>0</v>
      </c>
      <c r="BL134" s="176">
        <f t="shared" si="338"/>
        <v>0</v>
      </c>
      <c r="BM134" s="586">
        <f t="shared" si="356"/>
        <v>0</v>
      </c>
      <c r="BN134" s="176">
        <f t="shared" si="364"/>
        <v>0</v>
      </c>
      <c r="BO134" s="586">
        <f t="shared" si="348"/>
        <v>0</v>
      </c>
      <c r="BP134" s="176">
        <f t="shared" si="357"/>
        <v>0</v>
      </c>
      <c r="BQ134" s="586">
        <v>0</v>
      </c>
      <c r="BR134" s="176">
        <f t="shared" si="350"/>
        <v>709.01805999999851</v>
      </c>
      <c r="BS134" s="587">
        <f t="shared" si="358"/>
        <v>4.2390292149088321E-2</v>
      </c>
      <c r="BT134" s="176">
        <f t="shared" si="359"/>
        <v>709.01805999999851</v>
      </c>
      <c r="BU134" s="587">
        <f t="shared" si="351"/>
        <v>4.2390292149088321E-2</v>
      </c>
      <c r="BV134" s="161">
        <f>M132-BJ132</f>
        <v>0</v>
      </c>
      <c r="BW134" s="54">
        <v>0</v>
      </c>
      <c r="BX134" s="588"/>
      <c r="BY134" s="265" t="e">
        <f t="shared" si="339"/>
        <v>#DIV/0!</v>
      </c>
      <c r="BZ134" s="161" t="e">
        <f t="shared" si="352"/>
        <v>#REF!</v>
      </c>
      <c r="CA134" s="265" t="e">
        <f>BZ134/#REF!</f>
        <v>#REF!</v>
      </c>
      <c r="CB134" s="161" t="e">
        <f>BV134-#REF!</f>
        <v>#REF!</v>
      </c>
      <c r="CC134" s="265" t="e">
        <f t="shared" si="340"/>
        <v>#REF!</v>
      </c>
      <c r="CD134" s="161"/>
      <c r="CE134" s="577" t="e">
        <f t="shared" si="341"/>
        <v>#DIV/0!</v>
      </c>
      <c r="CF134" s="161"/>
      <c r="CG134" s="589"/>
      <c r="CH134" s="161"/>
      <c r="CI134" s="589"/>
      <c r="CJ134" s="161"/>
      <c r="CK134" s="590"/>
    </row>
    <row r="135" spans="1:92" s="592" customFormat="1" ht="55.5" hidden="1" customHeight="1" thickBot="1">
      <c r="B135" s="581"/>
      <c r="C135" s="582" t="s">
        <v>216</v>
      </c>
      <c r="D135" s="502" t="s">
        <v>84</v>
      </c>
      <c r="E135" s="502">
        <f>F135+G135</f>
        <v>49651.673040000001</v>
      </c>
      <c r="F135" s="502">
        <v>41886.673040000001</v>
      </c>
      <c r="G135" s="502">
        <v>7765</v>
      </c>
      <c r="H135" s="502">
        <f>I135+J135</f>
        <v>7152.7534899999991</v>
      </c>
      <c r="I135" s="591">
        <f t="shared" si="360"/>
        <v>9115.4500499999995</v>
      </c>
      <c r="J135" s="591">
        <f t="shared" si="360"/>
        <v>-1962.6965600000003</v>
      </c>
      <c r="K135" s="161">
        <f t="shared" si="330"/>
        <v>56804.426529999997</v>
      </c>
      <c r="L135" s="161">
        <f>44002.12309+7000</f>
        <v>51002.123090000001</v>
      </c>
      <c r="M135" s="161">
        <v>5802.3034399999997</v>
      </c>
      <c r="N135" s="161">
        <f>O135+P135</f>
        <v>0</v>
      </c>
      <c r="O135" s="461">
        <f>R135-L135</f>
        <v>0</v>
      </c>
      <c r="P135" s="461"/>
      <c r="Q135" s="160">
        <f t="shared" si="342"/>
        <v>56804.426529999997</v>
      </c>
      <c r="R135" s="160">
        <f>L135</f>
        <v>51002.123090000001</v>
      </c>
      <c r="S135" s="160">
        <f>M135</f>
        <v>5802.3034399999997</v>
      </c>
      <c r="T135" s="161">
        <f t="shared" si="365"/>
        <v>47082.922259999999</v>
      </c>
      <c r="U135" s="583">
        <f t="shared" si="232"/>
        <v>0.82886009306218766</v>
      </c>
      <c r="V135" s="161">
        <f>51915.09475-V134</f>
        <v>47082.922259999999</v>
      </c>
      <c r="W135" s="583">
        <f t="shared" si="233"/>
        <v>0.92315612385225509</v>
      </c>
      <c r="X135" s="161">
        <v>0</v>
      </c>
      <c r="Y135" s="583">
        <f t="shared" si="234"/>
        <v>0</v>
      </c>
      <c r="Z135" s="161">
        <f t="shared" si="343"/>
        <v>9721.5042700000013</v>
      </c>
      <c r="AA135" s="583">
        <f t="shared" si="235"/>
        <v>0.17113990693781239</v>
      </c>
      <c r="AB135" s="161">
        <f t="shared" si="344"/>
        <v>3919.2008300000016</v>
      </c>
      <c r="AC135" s="583">
        <f t="shared" si="236"/>
        <v>7.6843876147744919E-2</v>
      </c>
      <c r="AD135" s="161">
        <f>S135-X135</f>
        <v>5802.3034399999997</v>
      </c>
      <c r="AE135" s="161">
        <f>AF135+AG135</f>
        <v>0</v>
      </c>
      <c r="AF135" s="161"/>
      <c r="AG135" s="161"/>
      <c r="AH135" s="161">
        <f>AI135+AJ135</f>
        <v>6074.1873100000003</v>
      </c>
      <c r="AI135" s="161">
        <v>6074.1873100000003</v>
      </c>
      <c r="AJ135" s="161"/>
      <c r="AK135" s="161">
        <f t="shared" si="345"/>
        <v>0</v>
      </c>
      <c r="AL135" s="164">
        <f t="shared" si="331"/>
        <v>0</v>
      </c>
      <c r="AM135" s="164">
        <f t="shared" si="361"/>
        <v>0</v>
      </c>
      <c r="AN135" s="161">
        <v>0</v>
      </c>
      <c r="AO135" s="164">
        <f t="shared" si="332"/>
        <v>0</v>
      </c>
      <c r="AP135" s="164">
        <f t="shared" si="362"/>
        <v>0</v>
      </c>
      <c r="AQ135" s="161">
        <v>0</v>
      </c>
      <c r="AR135" s="164" t="e">
        <f t="shared" si="333"/>
        <v>#DIV/0!</v>
      </c>
      <c r="AS135" s="164">
        <f t="shared" si="346"/>
        <v>0</v>
      </c>
      <c r="AT135" s="161">
        <f t="shared" si="363"/>
        <v>56777.344759999993</v>
      </c>
      <c r="AU135" s="584">
        <f t="shared" si="334"/>
        <v>0.99952324542902127</v>
      </c>
      <c r="AV135" s="161">
        <f t="shared" si="366"/>
        <v>50975.041319999997</v>
      </c>
      <c r="AW135" s="373">
        <f t="shared" si="335"/>
        <v>0.99946900700678254</v>
      </c>
      <c r="AX135" s="161">
        <f>M135</f>
        <v>5802.3034399999997</v>
      </c>
      <c r="AY135" s="373">
        <f>AX135/S135</f>
        <v>1</v>
      </c>
      <c r="AZ135" s="436">
        <f>BB135+BD135</f>
        <v>27.081770000004326</v>
      </c>
      <c r="BA135" s="375">
        <f t="shared" si="336"/>
        <v>4.7675457097875443E-4</v>
      </c>
      <c r="BB135" s="176">
        <f>L135-AV135</f>
        <v>27.081770000004326</v>
      </c>
      <c r="BC135" s="375">
        <f t="shared" si="337"/>
        <v>5.3099299321745792E-4</v>
      </c>
      <c r="BD135" s="176">
        <f>S135-AX135</f>
        <v>0</v>
      </c>
      <c r="BE135" s="262">
        <f>BD135/S135</f>
        <v>0</v>
      </c>
      <c r="BF135" s="176">
        <f t="shared" si="347"/>
        <v>56777.344759999993</v>
      </c>
      <c r="BG135" s="585">
        <f t="shared" si="354"/>
        <v>1</v>
      </c>
      <c r="BH135" s="176">
        <f>43975.04132+7000</f>
        <v>50975.041319999997</v>
      </c>
      <c r="BI135" s="586">
        <f t="shared" si="355"/>
        <v>1</v>
      </c>
      <c r="BJ135" s="176">
        <f>S135</f>
        <v>5802.3034399999997</v>
      </c>
      <c r="BK135" s="586">
        <v>0</v>
      </c>
      <c r="BL135" s="176">
        <f t="shared" si="338"/>
        <v>0</v>
      </c>
      <c r="BM135" s="549">
        <f t="shared" si="356"/>
        <v>0</v>
      </c>
      <c r="BN135" s="176">
        <f t="shared" si="364"/>
        <v>0</v>
      </c>
      <c r="BO135" s="586">
        <f t="shared" si="348"/>
        <v>0</v>
      </c>
      <c r="BP135" s="176">
        <f t="shared" si="357"/>
        <v>0</v>
      </c>
      <c r="BQ135" s="586">
        <v>0</v>
      </c>
      <c r="BR135" s="176">
        <f t="shared" si="350"/>
        <v>27.081770000004326</v>
      </c>
      <c r="BS135" s="584">
        <f t="shared" si="358"/>
        <v>4.7675457097875443E-4</v>
      </c>
      <c r="BT135" s="176">
        <f t="shared" si="359"/>
        <v>27.081770000004326</v>
      </c>
      <c r="BU135" s="584">
        <f t="shared" si="351"/>
        <v>5.3099299321745792E-4</v>
      </c>
      <c r="BV135" s="161">
        <f>M135-BJ135</f>
        <v>0</v>
      </c>
      <c r="BW135" s="54">
        <v>0</v>
      </c>
      <c r="BX135" s="588"/>
      <c r="BY135" s="265">
        <f t="shared" si="339"/>
        <v>1</v>
      </c>
      <c r="BZ135" s="161" t="e">
        <f t="shared" si="352"/>
        <v>#REF!</v>
      </c>
      <c r="CA135" s="265" t="e">
        <f>BZ135/#REF!</f>
        <v>#REF!</v>
      </c>
      <c r="CB135" s="161" t="e">
        <f>BV135-#REF!</f>
        <v>#REF!</v>
      </c>
      <c r="CC135" s="265" t="e">
        <f t="shared" si="340"/>
        <v>#REF!</v>
      </c>
      <c r="CD135" s="161" t="e">
        <f>#REF!-BX135</f>
        <v>#REF!</v>
      </c>
      <c r="CE135" s="577" t="e">
        <f t="shared" si="341"/>
        <v>#DIV/0!</v>
      </c>
      <c r="CF135" s="161">
        <f>CG135+CH135</f>
        <v>0</v>
      </c>
      <c r="CG135" s="593"/>
      <c r="CH135" s="161">
        <f>CI135+CJ135</f>
        <v>0</v>
      </c>
      <c r="CI135" s="593"/>
      <c r="CJ135" s="161">
        <f>CK135+CL135</f>
        <v>0</v>
      </c>
      <c r="CK135" s="594"/>
    </row>
    <row r="136" spans="1:92" s="572" customFormat="1" ht="50.25" customHeight="1" thickBot="1">
      <c r="A136" s="595" t="s">
        <v>217</v>
      </c>
      <c r="B136" s="581" t="s">
        <v>34</v>
      </c>
      <c r="C136" s="582" t="s">
        <v>218</v>
      </c>
      <c r="D136" s="596" t="s">
        <v>219</v>
      </c>
      <c r="E136" s="502">
        <f t="shared" ref="E136:AK136" si="368">E137+E138+E139</f>
        <v>1174182.3969400001</v>
      </c>
      <c r="F136" s="502">
        <f t="shared" si="368"/>
        <v>1173379.19594</v>
      </c>
      <c r="G136" s="502">
        <f t="shared" si="368"/>
        <v>803.20100000000002</v>
      </c>
      <c r="H136" s="502">
        <f t="shared" si="368"/>
        <v>-182677.06326</v>
      </c>
      <c r="I136" s="502">
        <f t="shared" si="368"/>
        <v>-181873.86225999999</v>
      </c>
      <c r="J136" s="502">
        <f t="shared" si="368"/>
        <v>-803.20100000000002</v>
      </c>
      <c r="K136" s="161">
        <f t="shared" si="368"/>
        <v>991505.33368000004</v>
      </c>
      <c r="L136" s="161">
        <f t="shared" si="368"/>
        <v>991505.33368000004</v>
      </c>
      <c r="M136" s="161">
        <f t="shared" si="368"/>
        <v>0</v>
      </c>
      <c r="N136" s="161">
        <f>O136+P136</f>
        <v>97185.206990000006</v>
      </c>
      <c r="O136" s="161">
        <f t="shared" si="368"/>
        <v>97185.206990000006</v>
      </c>
      <c r="P136" s="161">
        <f t="shared" si="368"/>
        <v>0</v>
      </c>
      <c r="Q136" s="160">
        <f>K136+N136</f>
        <v>1088690.54067</v>
      </c>
      <c r="R136" s="160">
        <f t="shared" si="368"/>
        <v>1088690.54067</v>
      </c>
      <c r="S136" s="53">
        <f t="shared" si="368"/>
        <v>0</v>
      </c>
      <c r="T136" s="161">
        <f t="shared" si="368"/>
        <v>1511071.5243300002</v>
      </c>
      <c r="U136" s="583">
        <f t="shared" si="232"/>
        <v>1.3879715749160999</v>
      </c>
      <c r="V136" s="161">
        <f t="shared" si="368"/>
        <v>1511071.5243300002</v>
      </c>
      <c r="W136" s="583">
        <f t="shared" si="233"/>
        <v>1.3879715749160999</v>
      </c>
      <c r="X136" s="161">
        <f t="shared" si="368"/>
        <v>0</v>
      </c>
      <c r="Y136" s="583" t="e">
        <f t="shared" si="234"/>
        <v>#DIV/0!</v>
      </c>
      <c r="Z136" s="161">
        <f t="shared" si="343"/>
        <v>-422380.98365999997</v>
      </c>
      <c r="AA136" s="583">
        <f t="shared" si="235"/>
        <v>-0.38797157491609968</v>
      </c>
      <c r="AB136" s="161">
        <f>AB138+AB139</f>
        <v>-422380.98365999997</v>
      </c>
      <c r="AC136" s="583">
        <f t="shared" si="236"/>
        <v>-0.38797157491609968</v>
      </c>
      <c r="AD136" s="161">
        <f>S136-X136</f>
        <v>0</v>
      </c>
      <c r="AE136" s="161">
        <f t="shared" si="368"/>
        <v>0</v>
      </c>
      <c r="AF136" s="161">
        <f t="shared" si="368"/>
        <v>0</v>
      </c>
      <c r="AG136" s="161">
        <f t="shared" si="368"/>
        <v>0</v>
      </c>
      <c r="AH136" s="161">
        <f t="shared" si="368"/>
        <v>442263.19991999998</v>
      </c>
      <c r="AI136" s="161">
        <f t="shared" si="368"/>
        <v>442263.19991999998</v>
      </c>
      <c r="AJ136" s="161">
        <f t="shared" si="368"/>
        <v>0</v>
      </c>
      <c r="AK136" s="161">
        <f t="shared" si="368"/>
        <v>205143.13803999999</v>
      </c>
      <c r="AL136" s="164">
        <f t="shared" si="331"/>
        <v>0.46384853652103064</v>
      </c>
      <c r="AM136" s="164">
        <f t="shared" si="361"/>
        <v>0.18843108337632028</v>
      </c>
      <c r="AN136" s="161">
        <f>AN137+AN138+AN139</f>
        <v>205143.13803999999</v>
      </c>
      <c r="AO136" s="164">
        <f t="shared" si="332"/>
        <v>0.46384853652103064</v>
      </c>
      <c r="AP136" s="164">
        <f t="shared" si="362"/>
        <v>0.18843108337632028</v>
      </c>
      <c r="AQ136" s="161">
        <f>AQ137+AQ138+AQ139</f>
        <v>0</v>
      </c>
      <c r="AR136" s="164" t="e">
        <f t="shared" si="333"/>
        <v>#DIV/0!</v>
      </c>
      <c r="AS136" s="164">
        <v>0</v>
      </c>
      <c r="AT136" s="161">
        <f t="shared" si="363"/>
        <v>924647.40373999998</v>
      </c>
      <c r="AU136" s="550">
        <f t="shared" si="334"/>
        <v>0.93256926849616129</v>
      </c>
      <c r="AV136" s="161">
        <f>AV137+AV138+AV139</f>
        <v>924647.40373999998</v>
      </c>
      <c r="AW136" s="374">
        <f t="shared" si="335"/>
        <v>0.93256926849616129</v>
      </c>
      <c r="AX136" s="161">
        <f>AX137+AX138+AX139</f>
        <v>0</v>
      </c>
      <c r="AY136" s="374">
        <v>0</v>
      </c>
      <c r="AZ136" s="161">
        <f>BB136+BD136</f>
        <v>66857.929940000002</v>
      </c>
      <c r="BA136" s="377">
        <f t="shared" si="336"/>
        <v>6.7430731503838617E-2</v>
      </c>
      <c r="BB136" s="54">
        <f>BB137+BB138+BB139</f>
        <v>66857.929940000002</v>
      </c>
      <c r="BC136" s="377">
        <f t="shared" si="337"/>
        <v>6.7430731503838617E-2</v>
      </c>
      <c r="BD136" s="54">
        <f>BD139</f>
        <v>0</v>
      </c>
      <c r="BE136" s="443">
        <v>0</v>
      </c>
      <c r="BF136" s="161">
        <f t="shared" ref="BF136:BL136" si="369">BF137+BF138+BF139</f>
        <v>924647.80278000003</v>
      </c>
      <c r="BG136" s="586">
        <f t="shared" si="354"/>
        <v>1.0000004315590985</v>
      </c>
      <c r="BH136" s="161">
        <f>BH137+BH138+BH139</f>
        <v>924647.80278000003</v>
      </c>
      <c r="BI136" s="586">
        <f t="shared" si="355"/>
        <v>1.0000004315590985</v>
      </c>
      <c r="BJ136" s="161">
        <f t="shared" si="369"/>
        <v>0</v>
      </c>
      <c r="BK136" s="586">
        <v>0</v>
      </c>
      <c r="BL136" s="161">
        <f t="shared" si="369"/>
        <v>-0.39904000000387896</v>
      </c>
      <c r="BM136" s="549">
        <f t="shared" si="356"/>
        <v>-4.3155909851674049E-7</v>
      </c>
      <c r="BN136" s="161">
        <f>AV136-BH136</f>
        <v>-0.3990400000475347</v>
      </c>
      <c r="BO136" s="586">
        <f t="shared" si="348"/>
        <v>-4.3155909856395389E-7</v>
      </c>
      <c r="BP136" s="161">
        <f t="shared" si="357"/>
        <v>0</v>
      </c>
      <c r="BQ136" s="586">
        <v>0</v>
      </c>
      <c r="BR136" s="161">
        <f t="shared" si="350"/>
        <v>66857.530900000012</v>
      </c>
      <c r="BS136" s="597">
        <f t="shared" si="358"/>
        <v>6.7430329045085821E-2</v>
      </c>
      <c r="BT136" s="54">
        <f t="shared" si="359"/>
        <v>66857.530900000012</v>
      </c>
      <c r="BU136" s="597">
        <f t="shared" si="351"/>
        <v>6.7430329045085821E-2</v>
      </c>
      <c r="BV136" s="161">
        <f>BV137+BV138+BV139</f>
        <v>0</v>
      </c>
      <c r="BW136" s="54">
        <v>0</v>
      </c>
      <c r="BX136" s="1215" t="s">
        <v>220</v>
      </c>
      <c r="BY136" s="265" t="e">
        <f t="shared" si="339"/>
        <v>#DIV/0!</v>
      </c>
      <c r="BZ136" s="161" t="e">
        <f t="shared" si="352"/>
        <v>#REF!</v>
      </c>
      <c r="CA136" s="265" t="e">
        <f>BZ136/#REF!</f>
        <v>#REF!</v>
      </c>
      <c r="CB136" s="161" t="e">
        <f>CB138+CB139</f>
        <v>#REF!</v>
      </c>
      <c r="CC136" s="265" t="e">
        <f t="shared" si="340"/>
        <v>#REF!</v>
      </c>
      <c r="CD136" s="161" t="e">
        <f>#REF!-BX136</f>
        <v>#REF!</v>
      </c>
      <c r="CE136" s="577" t="e">
        <f t="shared" si="341"/>
        <v>#DIV/0!</v>
      </c>
      <c r="CF136" s="166" t="s">
        <v>221</v>
      </c>
      <c r="CG136" s="166" t="s">
        <v>81</v>
      </c>
      <c r="CH136" s="161">
        <f t="shared" ref="CH136" si="370">CH137+CH138+CH139</f>
        <v>0</v>
      </c>
      <c r="CI136" s="578"/>
      <c r="CJ136" s="161">
        <f t="shared" ref="CJ136" si="371">CJ137+CJ138+CJ139</f>
        <v>0</v>
      </c>
      <c r="CK136" s="579"/>
    </row>
    <row r="137" spans="1:92" s="294" customFormat="1" ht="39" customHeight="1">
      <c r="A137" s="598"/>
      <c r="B137" s="278" t="s">
        <v>222</v>
      </c>
      <c r="C137" s="296" t="s">
        <v>223</v>
      </c>
      <c r="D137" s="280"/>
      <c r="E137" s="280">
        <f>F137+G137</f>
        <v>436177.55</v>
      </c>
      <c r="F137" s="280">
        <v>436177.55</v>
      </c>
      <c r="G137" s="280"/>
      <c r="H137" s="280">
        <f>I137+J137</f>
        <v>220322.45</v>
      </c>
      <c r="I137" s="280">
        <f>L137-F137</f>
        <v>220322.45</v>
      </c>
      <c r="J137" s="280">
        <f>M137-G137</f>
        <v>0</v>
      </c>
      <c r="K137" s="152">
        <f>L137+M137</f>
        <v>656500</v>
      </c>
      <c r="L137" s="152">
        <f>200000+456500</f>
        <v>656500</v>
      </c>
      <c r="M137" s="152">
        <v>0</v>
      </c>
      <c r="N137" s="152">
        <f>O137</f>
        <v>0</v>
      </c>
      <c r="O137" s="152">
        <f>R137-L137</f>
        <v>0</v>
      </c>
      <c r="P137" s="152">
        <v>0</v>
      </c>
      <c r="Q137" s="156">
        <f>R137+S137</f>
        <v>656500</v>
      </c>
      <c r="R137" s="156">
        <f>L137</f>
        <v>656500</v>
      </c>
      <c r="S137" s="156">
        <v>0</v>
      </c>
      <c r="T137" s="152">
        <f>V137+X137</f>
        <v>656500</v>
      </c>
      <c r="U137" s="599">
        <f t="shared" si="232"/>
        <v>1</v>
      </c>
      <c r="V137" s="152">
        <f>R137</f>
        <v>656500</v>
      </c>
      <c r="W137" s="599">
        <f t="shared" si="233"/>
        <v>1</v>
      </c>
      <c r="X137" s="152">
        <v>0</v>
      </c>
      <c r="Y137" s="599">
        <v>0</v>
      </c>
      <c r="Z137" s="152">
        <f t="shared" si="343"/>
        <v>0</v>
      </c>
      <c r="AA137" s="599">
        <f t="shared" si="235"/>
        <v>0</v>
      </c>
      <c r="AB137" s="152">
        <f t="shared" ref="AB137" si="372">R137-V137</f>
        <v>0</v>
      </c>
      <c r="AC137" s="599">
        <f t="shared" si="236"/>
        <v>0</v>
      </c>
      <c r="AD137" s="152"/>
      <c r="AE137" s="152"/>
      <c r="AF137" s="152"/>
      <c r="AG137" s="152"/>
      <c r="AH137" s="152">
        <f>AI137+AJ137</f>
        <v>66275.054879999996</v>
      </c>
      <c r="AI137" s="152">
        <f>4382.03488+61893.02</f>
        <v>66275.054879999996</v>
      </c>
      <c r="AJ137" s="152"/>
      <c r="AK137" s="152">
        <f>AN137+AQ137</f>
        <v>70012.893960000001</v>
      </c>
      <c r="AL137" s="599">
        <f t="shared" si="331"/>
        <v>1.0563988832113058</v>
      </c>
      <c r="AM137" s="599">
        <f t="shared" si="361"/>
        <v>0.1066456876770754</v>
      </c>
      <c r="AN137" s="152">
        <v>70012.893960000001</v>
      </c>
      <c r="AO137" s="599">
        <f t="shared" si="332"/>
        <v>1.0563988832113058</v>
      </c>
      <c r="AP137" s="599">
        <f t="shared" si="362"/>
        <v>0.1066456876770754</v>
      </c>
      <c r="AQ137" s="152">
        <v>0</v>
      </c>
      <c r="AR137" s="599" t="e">
        <f t="shared" si="333"/>
        <v>#DIV/0!</v>
      </c>
      <c r="AS137" s="599">
        <v>0</v>
      </c>
      <c r="AT137" s="152">
        <f t="shared" si="363"/>
        <v>656500</v>
      </c>
      <c r="AU137" s="600">
        <f t="shared" si="334"/>
        <v>1</v>
      </c>
      <c r="AV137" s="152">
        <f>L137</f>
        <v>656500</v>
      </c>
      <c r="AW137" s="601">
        <f t="shared" si="335"/>
        <v>1</v>
      </c>
      <c r="AX137" s="152">
        <v>0</v>
      </c>
      <c r="AY137" s="150">
        <v>0</v>
      </c>
      <c r="AZ137" s="152">
        <f>BB137+BD137</f>
        <v>0</v>
      </c>
      <c r="BA137" s="165">
        <f t="shared" si="336"/>
        <v>0</v>
      </c>
      <c r="BB137" s="152">
        <f>R137-AV137</f>
        <v>0</v>
      </c>
      <c r="BC137" s="150">
        <f t="shared" si="337"/>
        <v>0</v>
      </c>
      <c r="BD137" s="152">
        <f>G137-AX137</f>
        <v>0</v>
      </c>
      <c r="BE137" s="165">
        <v>0</v>
      </c>
      <c r="BF137" s="152">
        <f>BH137</f>
        <v>656500</v>
      </c>
      <c r="BG137" s="150">
        <f t="shared" si="354"/>
        <v>1</v>
      </c>
      <c r="BH137" s="152">
        <v>656500</v>
      </c>
      <c r="BI137" s="602">
        <f t="shared" si="355"/>
        <v>1</v>
      </c>
      <c r="BJ137" s="152">
        <v>0</v>
      </c>
      <c r="BK137" s="602">
        <v>0</v>
      </c>
      <c r="BL137" s="152">
        <f>BN137+BP137</f>
        <v>0</v>
      </c>
      <c r="BM137" s="602">
        <f t="shared" si="356"/>
        <v>0</v>
      </c>
      <c r="BN137" s="152">
        <f>AV137-BH137</f>
        <v>0</v>
      </c>
      <c r="BO137" s="602">
        <f t="shared" si="348"/>
        <v>0</v>
      </c>
      <c r="BP137" s="152">
        <f t="shared" si="357"/>
        <v>0</v>
      </c>
      <c r="BQ137" s="602">
        <v>0</v>
      </c>
      <c r="BR137" s="152">
        <f t="shared" si="350"/>
        <v>0</v>
      </c>
      <c r="BS137" s="597">
        <f t="shared" si="358"/>
        <v>0</v>
      </c>
      <c r="BT137" s="152">
        <f t="shared" si="359"/>
        <v>0</v>
      </c>
      <c r="BU137" s="597">
        <f t="shared" si="351"/>
        <v>0</v>
      </c>
      <c r="BV137" s="152">
        <f t="shared" ref="BV137:BV150" si="373">M136-BJ136</f>
        <v>0</v>
      </c>
      <c r="BW137" s="54">
        <v>0</v>
      </c>
      <c r="BX137" s="1216"/>
      <c r="BY137" s="290">
        <v>0</v>
      </c>
      <c r="BZ137" s="152" t="e">
        <f t="shared" si="352"/>
        <v>#REF!</v>
      </c>
      <c r="CA137" s="290" t="e">
        <f>BZ137/#REF!</f>
        <v>#REF!</v>
      </c>
      <c r="CB137" s="152" t="e">
        <f>BV137-#REF!</f>
        <v>#REF!</v>
      </c>
      <c r="CC137" s="290" t="e">
        <f t="shared" si="340"/>
        <v>#REF!</v>
      </c>
      <c r="CD137" s="152"/>
      <c r="CE137" s="603"/>
      <c r="CF137" s="152"/>
      <c r="CG137" s="292"/>
      <c r="CH137" s="152"/>
      <c r="CI137" s="292"/>
      <c r="CJ137" s="152"/>
      <c r="CK137" s="293"/>
      <c r="CL137" s="604"/>
    </row>
    <row r="138" spans="1:92" s="553" customFormat="1" ht="76.5" hidden="1" customHeight="1">
      <c r="A138" s="605"/>
      <c r="B138" s="304" t="s">
        <v>224</v>
      </c>
      <c r="C138" s="270" t="s">
        <v>225</v>
      </c>
      <c r="D138" s="606"/>
      <c r="E138" s="249">
        <f t="shared" ref="E138:AJ139" si="374">E140+E142</f>
        <v>628104.84733000002</v>
      </c>
      <c r="F138" s="249">
        <f t="shared" si="374"/>
        <v>628104.84733000002</v>
      </c>
      <c r="G138" s="249">
        <f t="shared" si="374"/>
        <v>0</v>
      </c>
      <c r="H138" s="249">
        <f t="shared" si="374"/>
        <v>-392433.41090000002</v>
      </c>
      <c r="I138" s="249">
        <f t="shared" si="374"/>
        <v>-392433.41090000002</v>
      </c>
      <c r="J138" s="249">
        <f t="shared" si="374"/>
        <v>0</v>
      </c>
      <c r="K138" s="176">
        <f t="shared" si="374"/>
        <v>235671.43643</v>
      </c>
      <c r="L138" s="176">
        <f>L140+L142</f>
        <v>235671.43643</v>
      </c>
      <c r="M138" s="176">
        <f t="shared" si="374"/>
        <v>0</v>
      </c>
      <c r="N138" s="176">
        <f t="shared" si="374"/>
        <v>97185.206990000006</v>
      </c>
      <c r="O138" s="176">
        <f t="shared" si="374"/>
        <v>97185.206990000006</v>
      </c>
      <c r="P138" s="176">
        <f t="shared" si="374"/>
        <v>0</v>
      </c>
      <c r="Q138" s="175">
        <f t="shared" si="374"/>
        <v>332856.64341999998</v>
      </c>
      <c r="R138" s="175">
        <f t="shared" si="374"/>
        <v>332856.64341999998</v>
      </c>
      <c r="S138" s="175">
        <f t="shared" si="374"/>
        <v>0</v>
      </c>
      <c r="T138" s="176">
        <f t="shared" si="374"/>
        <v>707795.66868</v>
      </c>
      <c r="U138" s="607">
        <f t="shared" si="232"/>
        <v>2.1264279463002946</v>
      </c>
      <c r="V138" s="176">
        <f t="shared" si="374"/>
        <v>707795.66868</v>
      </c>
      <c r="W138" s="607">
        <f t="shared" si="233"/>
        <v>2.1264279463002946</v>
      </c>
      <c r="X138" s="176">
        <f t="shared" si="374"/>
        <v>0</v>
      </c>
      <c r="Y138" s="607">
        <v>0</v>
      </c>
      <c r="Z138" s="176">
        <f>Z140+Z142</f>
        <v>-374939.02525999997</v>
      </c>
      <c r="AA138" s="607">
        <f t="shared" si="235"/>
        <v>-1.1264279463002944</v>
      </c>
      <c r="AB138" s="176">
        <f>AB140+AB142</f>
        <v>-374939.02525999997</v>
      </c>
      <c r="AC138" s="607">
        <f t="shared" si="236"/>
        <v>-1.1264279463002944</v>
      </c>
      <c r="AD138" s="176"/>
      <c r="AE138" s="176">
        <f t="shared" si="374"/>
        <v>0</v>
      </c>
      <c r="AF138" s="176">
        <f t="shared" si="374"/>
        <v>0</v>
      </c>
      <c r="AG138" s="176">
        <f t="shared" si="374"/>
        <v>0</v>
      </c>
      <c r="AH138" s="176">
        <f t="shared" si="374"/>
        <v>298443.16904999997</v>
      </c>
      <c r="AI138" s="176">
        <f t="shared" si="374"/>
        <v>298443.16904999997</v>
      </c>
      <c r="AJ138" s="176">
        <f t="shared" si="374"/>
        <v>0</v>
      </c>
      <c r="AK138" s="176">
        <f>AN138+AQ138</f>
        <v>96840.750899999999</v>
      </c>
      <c r="AL138" s="608">
        <f t="shared" si="331"/>
        <v>0.32448640459174216</v>
      </c>
      <c r="AM138" s="608">
        <f t="shared" si="361"/>
        <v>0.29093831478017373</v>
      </c>
      <c r="AN138" s="176">
        <f>AN140+AN142</f>
        <v>96840.750899999999</v>
      </c>
      <c r="AO138" s="608">
        <f t="shared" si="332"/>
        <v>0.32448640459174216</v>
      </c>
      <c r="AP138" s="608">
        <f t="shared" si="362"/>
        <v>0.29093831478017373</v>
      </c>
      <c r="AQ138" s="176">
        <f>AQ140+AQ142</f>
        <v>0</v>
      </c>
      <c r="AR138" s="608" t="e">
        <f t="shared" si="333"/>
        <v>#DIV/0!</v>
      </c>
      <c r="AS138" s="608">
        <v>0</v>
      </c>
      <c r="AT138" s="176">
        <f>AT140+AT142</f>
        <v>186356.09705000001</v>
      </c>
      <c r="AU138" s="584">
        <f t="shared" si="334"/>
        <v>0.79074536937085371</v>
      </c>
      <c r="AV138" s="176">
        <f>AV140+AV142</f>
        <v>186356.09705000001</v>
      </c>
      <c r="AW138" s="373">
        <f t="shared" si="335"/>
        <v>0.79074536937085371</v>
      </c>
      <c r="AX138" s="176">
        <f>AX140+AX142</f>
        <v>0</v>
      </c>
      <c r="AY138" s="373">
        <v>0</v>
      </c>
      <c r="AZ138" s="176">
        <f t="shared" ref="AZ138:BL139" si="375">AZ140+AZ142</f>
        <v>49315.33937999999</v>
      </c>
      <c r="BA138" s="262">
        <f t="shared" si="336"/>
        <v>0.20925463062914632</v>
      </c>
      <c r="BB138" s="176">
        <f>BB140+BB142</f>
        <v>49315.33937999999</v>
      </c>
      <c r="BC138" s="375">
        <f t="shared" si="337"/>
        <v>0.20925463062914632</v>
      </c>
      <c r="BD138" s="176">
        <f t="shared" si="375"/>
        <v>0</v>
      </c>
      <c r="BE138" s="262">
        <v>0</v>
      </c>
      <c r="BF138" s="176">
        <f t="shared" si="375"/>
        <v>186356.09705000001</v>
      </c>
      <c r="BG138" s="585">
        <f t="shared" si="354"/>
        <v>1</v>
      </c>
      <c r="BH138" s="176">
        <f>BH140+BH142</f>
        <v>186356.09705000001</v>
      </c>
      <c r="BI138" s="586">
        <f t="shared" si="355"/>
        <v>1</v>
      </c>
      <c r="BJ138" s="176">
        <f t="shared" si="375"/>
        <v>0</v>
      </c>
      <c r="BK138" s="586">
        <v>0</v>
      </c>
      <c r="BL138" s="176">
        <f t="shared" si="375"/>
        <v>0</v>
      </c>
      <c r="BM138" s="586">
        <f t="shared" si="356"/>
        <v>0</v>
      </c>
      <c r="BN138" s="176">
        <f>AV138-BH138</f>
        <v>0</v>
      </c>
      <c r="BO138" s="586">
        <f t="shared" si="348"/>
        <v>0</v>
      </c>
      <c r="BP138" s="176">
        <f t="shared" si="357"/>
        <v>0</v>
      </c>
      <c r="BQ138" s="586">
        <v>0</v>
      </c>
      <c r="BR138" s="176">
        <f t="shared" si="350"/>
        <v>49315.33937999999</v>
      </c>
      <c r="BS138" s="584">
        <f t="shared" si="358"/>
        <v>0.20925463062914632</v>
      </c>
      <c r="BT138" s="486">
        <f>L138-BH138</f>
        <v>49315.33937999999</v>
      </c>
      <c r="BU138" s="584">
        <f t="shared" si="351"/>
        <v>0.20925463062914632</v>
      </c>
      <c r="BV138" s="176">
        <f t="shared" si="373"/>
        <v>0</v>
      </c>
      <c r="BW138" s="54">
        <v>0</v>
      </c>
      <c r="BX138" s="609" t="s">
        <v>226</v>
      </c>
      <c r="BY138" s="271">
        <v>0</v>
      </c>
      <c r="BZ138" s="176" t="e">
        <f>BZ140+BZ142</f>
        <v>#REF!</v>
      </c>
      <c r="CA138" s="271" t="e">
        <f>BZ138/#REF!</f>
        <v>#REF!</v>
      </c>
      <c r="CB138" s="176" t="e">
        <f>CB140+CB142</f>
        <v>#REF!</v>
      </c>
      <c r="CC138" s="271" t="e">
        <f t="shared" si="340"/>
        <v>#REF!</v>
      </c>
      <c r="CD138" s="176"/>
      <c r="CE138" s="176" t="e">
        <f t="shared" ref="CE138:CH139" si="376">CE140+CE142</f>
        <v>#DIV/0!</v>
      </c>
      <c r="CF138" s="176">
        <f t="shared" si="376"/>
        <v>0</v>
      </c>
      <c r="CG138" s="610"/>
      <c r="CH138" s="176">
        <f t="shared" si="376"/>
        <v>0</v>
      </c>
      <c r="CI138" s="610"/>
      <c r="CJ138" s="176">
        <f t="shared" ref="CJ138:CJ139" si="377">CJ140+CJ142</f>
        <v>0</v>
      </c>
      <c r="CK138" s="611"/>
    </row>
    <row r="139" spans="1:92" s="553" customFormat="1" ht="48.75" hidden="1" customHeight="1">
      <c r="A139" s="605"/>
      <c r="B139" s="304" t="s">
        <v>227</v>
      </c>
      <c r="C139" s="270" t="s">
        <v>228</v>
      </c>
      <c r="D139" s="606"/>
      <c r="E139" s="249">
        <f t="shared" si="374"/>
        <v>109899.99961</v>
      </c>
      <c r="F139" s="249">
        <f t="shared" si="374"/>
        <v>109096.79861</v>
      </c>
      <c r="G139" s="249">
        <f t="shared" si="374"/>
        <v>803.20100000000002</v>
      </c>
      <c r="H139" s="249">
        <f t="shared" si="374"/>
        <v>-10566.102359999986</v>
      </c>
      <c r="I139" s="249">
        <f t="shared" si="374"/>
        <v>-9762.9013599999871</v>
      </c>
      <c r="J139" s="249">
        <f t="shared" si="374"/>
        <v>-803.20100000000002</v>
      </c>
      <c r="K139" s="176">
        <f t="shared" si="374"/>
        <v>99333.897250000009</v>
      </c>
      <c r="L139" s="176">
        <f>L141+L143</f>
        <v>99333.897250000009</v>
      </c>
      <c r="M139" s="176">
        <f t="shared" si="374"/>
        <v>0</v>
      </c>
      <c r="N139" s="176">
        <f t="shared" si="374"/>
        <v>0</v>
      </c>
      <c r="O139" s="176">
        <f t="shared" si="374"/>
        <v>0</v>
      </c>
      <c r="P139" s="176">
        <f t="shared" si="374"/>
        <v>0</v>
      </c>
      <c r="Q139" s="175">
        <f t="shared" si="374"/>
        <v>99333.897250000009</v>
      </c>
      <c r="R139" s="175">
        <f t="shared" si="374"/>
        <v>99333.897250000009</v>
      </c>
      <c r="S139" s="175">
        <f t="shared" si="374"/>
        <v>0</v>
      </c>
      <c r="T139" s="176">
        <f t="shared" si="374"/>
        <v>146775.85564999998</v>
      </c>
      <c r="U139" s="607">
        <f t="shared" si="232"/>
        <v>1.4776008967069896</v>
      </c>
      <c r="V139" s="176">
        <f t="shared" si="374"/>
        <v>146775.85564999998</v>
      </c>
      <c r="W139" s="607">
        <f t="shared" si="233"/>
        <v>1.4776008967069896</v>
      </c>
      <c r="X139" s="176">
        <f t="shared" si="374"/>
        <v>0</v>
      </c>
      <c r="Y139" s="607" t="e">
        <f t="shared" si="234"/>
        <v>#DIV/0!</v>
      </c>
      <c r="Z139" s="176">
        <f>Z141+Z143</f>
        <v>-47441.958399999989</v>
      </c>
      <c r="AA139" s="607">
        <f t="shared" si="235"/>
        <v>-0.47760089670698974</v>
      </c>
      <c r="AB139" s="176">
        <f>AB141+AB143</f>
        <v>-47441.958399999989</v>
      </c>
      <c r="AC139" s="607">
        <f t="shared" si="236"/>
        <v>-0.47760089670698974</v>
      </c>
      <c r="AD139" s="176">
        <f t="shared" ref="AD139" si="378">AD140+AD141+AD142</f>
        <v>0</v>
      </c>
      <c r="AE139" s="176">
        <f t="shared" si="374"/>
        <v>0</v>
      </c>
      <c r="AF139" s="176">
        <f t="shared" si="374"/>
        <v>0</v>
      </c>
      <c r="AG139" s="176">
        <f t="shared" si="374"/>
        <v>0</v>
      </c>
      <c r="AH139" s="176">
        <f t="shared" si="374"/>
        <v>77544.975990000006</v>
      </c>
      <c r="AI139" s="176">
        <f t="shared" si="374"/>
        <v>77544.975990000006</v>
      </c>
      <c r="AJ139" s="176">
        <f t="shared" si="374"/>
        <v>0</v>
      </c>
      <c r="AK139" s="176">
        <f>AK141+AK143</f>
        <v>38289.493179999998</v>
      </c>
      <c r="AL139" s="608">
        <f t="shared" si="331"/>
        <v>0.49377142350186182</v>
      </c>
      <c r="AM139" s="608">
        <f t="shared" si="361"/>
        <v>0.38546250816712008</v>
      </c>
      <c r="AN139" s="176">
        <f>AN141+AN143</f>
        <v>38289.493179999998</v>
      </c>
      <c r="AO139" s="608">
        <f t="shared" si="332"/>
        <v>0.49377142350186182</v>
      </c>
      <c r="AP139" s="608">
        <f t="shared" si="362"/>
        <v>0.38546250816712008</v>
      </c>
      <c r="AQ139" s="176">
        <f>AQ141+AQ143</f>
        <v>0</v>
      </c>
      <c r="AR139" s="608" t="e">
        <f t="shared" si="333"/>
        <v>#DIV/0!</v>
      </c>
      <c r="AS139" s="608">
        <v>0</v>
      </c>
      <c r="AT139" s="176">
        <f>AT141+AT143</f>
        <v>81791.306689999998</v>
      </c>
      <c r="AU139" s="584">
        <f t="shared" si="334"/>
        <v>0.82339774190224868</v>
      </c>
      <c r="AV139" s="176">
        <f>AV141+AV143</f>
        <v>81791.306689999998</v>
      </c>
      <c r="AW139" s="373">
        <f t="shared" si="335"/>
        <v>0.82339774190224868</v>
      </c>
      <c r="AX139" s="176">
        <f>AX141+AX143</f>
        <v>0</v>
      </c>
      <c r="AY139" s="373">
        <v>0</v>
      </c>
      <c r="AZ139" s="176">
        <f t="shared" si="375"/>
        <v>17542.590560000004</v>
      </c>
      <c r="BA139" s="262">
        <f t="shared" si="336"/>
        <v>0.17660225809775124</v>
      </c>
      <c r="BB139" s="176">
        <f>BB141+BB143</f>
        <v>17542.590560000004</v>
      </c>
      <c r="BC139" s="375">
        <f t="shared" si="337"/>
        <v>0.17660225809775124</v>
      </c>
      <c r="BD139" s="176">
        <f>BD140+BD141</f>
        <v>0</v>
      </c>
      <c r="BE139" s="262">
        <v>0</v>
      </c>
      <c r="BF139" s="176">
        <f t="shared" si="375"/>
        <v>81791.705730000001</v>
      </c>
      <c r="BG139" s="585">
        <f t="shared" si="354"/>
        <v>1.0000048787580997</v>
      </c>
      <c r="BH139" s="176">
        <f>BH141+BH143</f>
        <v>81791.705730000001</v>
      </c>
      <c r="BI139" s="586">
        <f t="shared" si="355"/>
        <v>1.0000048787580997</v>
      </c>
      <c r="BJ139" s="176">
        <f t="shared" si="375"/>
        <v>0</v>
      </c>
      <c r="BK139" s="586">
        <v>0</v>
      </c>
      <c r="BL139" s="176">
        <f t="shared" si="375"/>
        <v>-0.39904000000387896</v>
      </c>
      <c r="BM139" s="586">
        <f t="shared" si="356"/>
        <v>-4.8787580997610662E-6</v>
      </c>
      <c r="BN139" s="176">
        <f t="shared" ref="BN139:BN150" si="379">AV139-BH139</f>
        <v>-0.39904000000387896</v>
      </c>
      <c r="BO139" s="586">
        <f t="shared" si="348"/>
        <v>-4.8787580997610662E-6</v>
      </c>
      <c r="BP139" s="176">
        <f t="shared" si="357"/>
        <v>0</v>
      </c>
      <c r="BQ139" s="586">
        <v>0</v>
      </c>
      <c r="BR139" s="176">
        <f t="shared" si="350"/>
        <v>17542.191520000008</v>
      </c>
      <c r="BS139" s="587">
        <f t="shared" si="358"/>
        <v>0.1765982409393487</v>
      </c>
      <c r="BT139" s="486">
        <f t="shared" ref="BT139:BT150" si="380">L139-BH139</f>
        <v>17542.191520000008</v>
      </c>
      <c r="BU139" s="587">
        <f t="shared" si="351"/>
        <v>0.1765982409393487</v>
      </c>
      <c r="BV139" s="176">
        <f t="shared" si="373"/>
        <v>0</v>
      </c>
      <c r="BW139" s="54">
        <v>0</v>
      </c>
      <c r="BX139" s="609" t="s">
        <v>229</v>
      </c>
      <c r="BY139" s="271" t="e">
        <f t="shared" ref="BY139:BY156" si="381">AD139/S139</f>
        <v>#DIV/0!</v>
      </c>
      <c r="BZ139" s="176" t="e">
        <f>BZ141+BZ143</f>
        <v>#REF!</v>
      </c>
      <c r="CA139" s="271" t="e">
        <f>BZ139/#REF!</f>
        <v>#REF!</v>
      </c>
      <c r="CB139" s="176" t="e">
        <f>BV139-#REF!</f>
        <v>#REF!</v>
      </c>
      <c r="CC139" s="271" t="e">
        <f t="shared" si="340"/>
        <v>#REF!</v>
      </c>
      <c r="CD139" s="176" t="e">
        <f t="shared" ref="CD139" si="382">CD140+CD141+CD142</f>
        <v>#REF!</v>
      </c>
      <c r="CE139" s="271" t="e">
        <f t="shared" ref="CE139:CE145" si="383">AJ139/Y139</f>
        <v>#DIV/0!</v>
      </c>
      <c r="CF139" s="176">
        <f t="shared" si="376"/>
        <v>0</v>
      </c>
      <c r="CG139" s="610"/>
      <c r="CH139" s="176">
        <f t="shared" si="376"/>
        <v>0</v>
      </c>
      <c r="CI139" s="610"/>
      <c r="CJ139" s="176">
        <f t="shared" si="377"/>
        <v>0</v>
      </c>
      <c r="CK139" s="611"/>
    </row>
    <row r="140" spans="1:92" s="3" customFormat="1" ht="22.5" hidden="1" customHeight="1">
      <c r="A140" s="605"/>
      <c r="B140" s="612" t="s">
        <v>230</v>
      </c>
      <c r="C140" s="270" t="s">
        <v>231</v>
      </c>
      <c r="D140" s="274" t="s">
        <v>232</v>
      </c>
      <c r="E140" s="249">
        <f t="shared" ref="E140:E146" si="384">F140+G140</f>
        <v>325570.88575000002</v>
      </c>
      <c r="F140" s="249">
        <v>325570.88575000002</v>
      </c>
      <c r="G140" s="249"/>
      <c r="H140" s="249">
        <f t="shared" ref="H140:H146" si="385">I140+J140</f>
        <v>-174899.44932000001</v>
      </c>
      <c r="I140" s="385">
        <f t="shared" ref="I140:J143" si="386">L140-F140</f>
        <v>-174899.44932000001</v>
      </c>
      <c r="J140" s="385">
        <f t="shared" si="386"/>
        <v>0</v>
      </c>
      <c r="K140" s="176">
        <f t="shared" ref="K140:K146" si="387">L140+M140</f>
        <v>150671.43643</v>
      </c>
      <c r="L140" s="176">
        <f>247856.64342-97185.20699</f>
        <v>150671.43643</v>
      </c>
      <c r="M140" s="176">
        <v>0</v>
      </c>
      <c r="N140" s="176">
        <f>O140+P140</f>
        <v>97185.206990000006</v>
      </c>
      <c r="O140" s="176">
        <f>R140-L140</f>
        <v>97185.206990000006</v>
      </c>
      <c r="P140" s="382"/>
      <c r="Q140" s="175">
        <f t="shared" ref="Q140:Q146" si="388">R140+S140</f>
        <v>247856.64342000001</v>
      </c>
      <c r="R140" s="175">
        <v>247856.64342000001</v>
      </c>
      <c r="S140" s="175"/>
      <c r="T140" s="176">
        <f>V140+X140</f>
        <v>504161.91321999999</v>
      </c>
      <c r="U140" s="607">
        <f t="shared" si="232"/>
        <v>2.0340867457229441</v>
      </c>
      <c r="V140" s="176">
        <v>504161.91321999999</v>
      </c>
      <c r="W140" s="607">
        <f t="shared" si="233"/>
        <v>2.0340867457229441</v>
      </c>
      <c r="X140" s="176"/>
      <c r="Y140" s="607">
        <v>0</v>
      </c>
      <c r="Z140" s="176">
        <f t="shared" ref="Z140:Z146" si="389">AB140+AD140</f>
        <v>-256305.26979999998</v>
      </c>
      <c r="AA140" s="607">
        <f t="shared" si="235"/>
        <v>-1.0340867457229441</v>
      </c>
      <c r="AB140" s="176">
        <f>R140-V140</f>
        <v>-256305.26979999998</v>
      </c>
      <c r="AC140" s="607">
        <f t="shared" si="236"/>
        <v>-1.0340867457229441</v>
      </c>
      <c r="AD140" s="176"/>
      <c r="AE140" s="176">
        <f t="shared" ref="AE140:AE146" si="390">AF140+AG140</f>
        <v>0</v>
      </c>
      <c r="AF140" s="176"/>
      <c r="AG140" s="176"/>
      <c r="AH140" s="176">
        <f t="shared" ref="AH140:AH146" si="391">AI140+AJ140</f>
        <v>223210.50571999999</v>
      </c>
      <c r="AI140" s="176">
        <v>223210.50571999999</v>
      </c>
      <c r="AJ140" s="176"/>
      <c r="AK140" s="176">
        <f>AN140+AQ140</f>
        <v>91221.506259999995</v>
      </c>
      <c r="AL140" s="608">
        <f t="shared" si="331"/>
        <v>0.4086792687725469</v>
      </c>
      <c r="AM140" s="608">
        <f t="shared" si="361"/>
        <v>0.368041400873095</v>
      </c>
      <c r="AN140" s="176">
        <v>91221.506259999995</v>
      </c>
      <c r="AO140" s="608">
        <f t="shared" si="332"/>
        <v>0.4086792687725469</v>
      </c>
      <c r="AP140" s="608">
        <f t="shared" si="362"/>
        <v>0.368041400873095</v>
      </c>
      <c r="AQ140" s="176">
        <v>0</v>
      </c>
      <c r="AR140" s="608" t="e">
        <f t="shared" si="333"/>
        <v>#DIV/0!</v>
      </c>
      <c r="AS140" s="608">
        <v>0</v>
      </c>
      <c r="AT140" s="176">
        <f>AV140+AX140</f>
        <v>150474.82946000001</v>
      </c>
      <c r="AU140" s="584">
        <f t="shared" si="334"/>
        <v>0.99869512779158154</v>
      </c>
      <c r="AV140" s="176">
        <f>BH140</f>
        <v>150474.82946000001</v>
      </c>
      <c r="AW140" s="373">
        <f t="shared" si="335"/>
        <v>0.99869512779158154</v>
      </c>
      <c r="AX140" s="176">
        <v>0</v>
      </c>
      <c r="AY140" s="373">
        <v>0</v>
      </c>
      <c r="AZ140" s="382">
        <f>BB140+BD140</f>
        <v>196.60696999999345</v>
      </c>
      <c r="BA140" s="262">
        <f t="shared" si="336"/>
        <v>1.3048722084184449E-3</v>
      </c>
      <c r="BB140" s="176">
        <f>L140-AV140</f>
        <v>196.60696999999345</v>
      </c>
      <c r="BC140" s="375">
        <f t="shared" si="337"/>
        <v>1.3048722084184449E-3</v>
      </c>
      <c r="BD140" s="382">
        <f>G140-AX140</f>
        <v>0</v>
      </c>
      <c r="BE140" s="262">
        <v>0</v>
      </c>
      <c r="BF140" s="176">
        <f>BH140+BJ140</f>
        <v>150474.82946000001</v>
      </c>
      <c r="BG140" s="585">
        <f t="shared" si="354"/>
        <v>1</v>
      </c>
      <c r="BH140" s="176">
        <v>150474.82946000001</v>
      </c>
      <c r="BI140" s="586">
        <f t="shared" si="355"/>
        <v>1</v>
      </c>
      <c r="BJ140" s="176">
        <v>0</v>
      </c>
      <c r="BK140" s="586">
        <v>0</v>
      </c>
      <c r="BL140" s="176">
        <f>BN140+BP140</f>
        <v>0</v>
      </c>
      <c r="BM140" s="586">
        <f t="shared" si="356"/>
        <v>0</v>
      </c>
      <c r="BN140" s="176">
        <f t="shared" si="379"/>
        <v>0</v>
      </c>
      <c r="BO140" s="586">
        <f t="shared" si="348"/>
        <v>0</v>
      </c>
      <c r="BP140" s="176">
        <f t="shared" si="357"/>
        <v>0</v>
      </c>
      <c r="BQ140" s="586">
        <v>0</v>
      </c>
      <c r="BR140" s="176">
        <f t="shared" si="350"/>
        <v>196.60696999999345</v>
      </c>
      <c r="BS140" s="587">
        <f t="shared" si="358"/>
        <v>1.3048722084184449E-3</v>
      </c>
      <c r="BT140" s="486">
        <f t="shared" si="380"/>
        <v>196.60696999999345</v>
      </c>
      <c r="BU140" s="587">
        <f t="shared" si="351"/>
        <v>1.3048722084184449E-3</v>
      </c>
      <c r="BV140" s="176">
        <f t="shared" si="373"/>
        <v>0</v>
      </c>
      <c r="BW140" s="54">
        <v>0</v>
      </c>
      <c r="BX140" s="303"/>
      <c r="BY140" s="271" t="e">
        <f t="shared" si="381"/>
        <v>#DIV/0!</v>
      </c>
      <c r="BZ140" s="176" t="e">
        <f t="shared" ref="BZ140:BZ146" si="392">CB140+CD140</f>
        <v>#REF!</v>
      </c>
      <c r="CA140" s="271" t="e">
        <f>BZ140/#REF!</f>
        <v>#REF!</v>
      </c>
      <c r="CB140" s="176" t="e">
        <f>#REF!-#REF!</f>
        <v>#REF!</v>
      </c>
      <c r="CC140" s="271" t="e">
        <f t="shared" si="340"/>
        <v>#REF!</v>
      </c>
      <c r="CD140" s="176"/>
      <c r="CE140" s="271" t="e">
        <f t="shared" si="383"/>
        <v>#DIV/0!</v>
      </c>
      <c r="CF140" s="176">
        <f t="shared" ref="CF140:CF146" si="393">CG140+CH140</f>
        <v>0</v>
      </c>
      <c r="CG140" s="396"/>
      <c r="CH140" s="176">
        <f t="shared" ref="CH140:CH146" si="394">CI140+CJ140</f>
        <v>0</v>
      </c>
      <c r="CI140" s="396"/>
      <c r="CJ140" s="176">
        <f t="shared" ref="CJ140:CJ146" si="395">CK140+CL140</f>
        <v>0</v>
      </c>
      <c r="CK140" s="397"/>
      <c r="CL140" s="613"/>
    </row>
    <row r="141" spans="1:92" s="3" customFormat="1" ht="35.25" hidden="1" customHeight="1">
      <c r="A141" s="605"/>
      <c r="B141" s="612" t="s">
        <v>233</v>
      </c>
      <c r="C141" s="270" t="s">
        <v>234</v>
      </c>
      <c r="D141" s="274" t="s">
        <v>84</v>
      </c>
      <c r="E141" s="249">
        <f t="shared" si="384"/>
        <v>96808.072619999992</v>
      </c>
      <c r="F141" s="249">
        <f>87202.02114+8802.85048</f>
        <v>96004.871619999991</v>
      </c>
      <c r="G141" s="249">
        <v>803.20100000000002</v>
      </c>
      <c r="H141" s="249">
        <f t="shared" si="385"/>
        <v>-821.12616999998772</v>
      </c>
      <c r="I141" s="385">
        <f t="shared" si="386"/>
        <v>-17.925169999987702</v>
      </c>
      <c r="J141" s="385">
        <f t="shared" si="386"/>
        <v>-803.20100000000002</v>
      </c>
      <c r="K141" s="176">
        <f t="shared" si="387"/>
        <v>95986.946450000003</v>
      </c>
      <c r="L141" s="176">
        <f>R141</f>
        <v>95986.946450000003</v>
      </c>
      <c r="M141" s="176">
        <v>0</v>
      </c>
      <c r="N141" s="176">
        <f t="shared" ref="N141:N146" si="396">O141+P141</f>
        <v>0</v>
      </c>
      <c r="O141" s="176">
        <f t="shared" ref="O141:O143" si="397">R141-L141</f>
        <v>0</v>
      </c>
      <c r="P141" s="382"/>
      <c r="Q141" s="175">
        <f t="shared" si="388"/>
        <v>95986.946450000003</v>
      </c>
      <c r="R141" s="175">
        <v>95986.946450000003</v>
      </c>
      <c r="S141" s="175">
        <f>M141</f>
        <v>0</v>
      </c>
      <c r="T141" s="176">
        <f t="shared" ref="T141:T143" si="398">V141+X141</f>
        <v>134729.26574999999</v>
      </c>
      <c r="U141" s="607">
        <f t="shared" si="232"/>
        <v>1.4036207081572392</v>
      </c>
      <c r="V141" s="176">
        <v>134729.26574999999</v>
      </c>
      <c r="W141" s="607">
        <f t="shared" si="233"/>
        <v>1.4036207081572392</v>
      </c>
      <c r="X141" s="176"/>
      <c r="Y141" s="607" t="e">
        <f t="shared" si="234"/>
        <v>#DIV/0!</v>
      </c>
      <c r="Z141" s="176">
        <f t="shared" si="389"/>
        <v>-38742.319299999988</v>
      </c>
      <c r="AA141" s="607">
        <f t="shared" si="235"/>
        <v>-0.40362070815723911</v>
      </c>
      <c r="AB141" s="176">
        <f t="shared" ref="AB141:AB142" si="399">R141-V141</f>
        <v>-38742.319299999988</v>
      </c>
      <c r="AC141" s="607">
        <f t="shared" si="236"/>
        <v>-0.40362070815723911</v>
      </c>
      <c r="AD141" s="176">
        <f>S141-X141</f>
        <v>0</v>
      </c>
      <c r="AE141" s="176">
        <f t="shared" si="390"/>
        <v>0</v>
      </c>
      <c r="AF141" s="176"/>
      <c r="AG141" s="176"/>
      <c r="AH141" s="176">
        <f t="shared" si="391"/>
        <v>70314.471030000001</v>
      </c>
      <c r="AI141" s="176">
        <v>70314.471030000001</v>
      </c>
      <c r="AJ141" s="176"/>
      <c r="AK141" s="176">
        <f>AN141+AQ141</f>
        <v>37968.097589999998</v>
      </c>
      <c r="AL141" s="608">
        <f t="shared" si="331"/>
        <v>0.53997558445402694</v>
      </c>
      <c r="AM141" s="608">
        <f t="shared" si="361"/>
        <v>0.39555480192067299</v>
      </c>
      <c r="AN141" s="176">
        <v>37968.097589999998</v>
      </c>
      <c r="AO141" s="608">
        <f t="shared" si="332"/>
        <v>0.53997558445402694</v>
      </c>
      <c r="AP141" s="608">
        <f t="shared" si="362"/>
        <v>0.39555480192067299</v>
      </c>
      <c r="AQ141" s="176">
        <v>0</v>
      </c>
      <c r="AR141" s="608" t="e">
        <f t="shared" si="333"/>
        <v>#DIV/0!</v>
      </c>
      <c r="AS141" s="608">
        <v>0</v>
      </c>
      <c r="AT141" s="176">
        <f>AV141+AX141</f>
        <v>80930.740890000001</v>
      </c>
      <c r="AU141" s="584">
        <f t="shared" si="334"/>
        <v>0.84314319689456063</v>
      </c>
      <c r="AV141" s="176">
        <v>80930.740890000001</v>
      </c>
      <c r="AW141" s="373">
        <f t="shared" si="335"/>
        <v>0.84314319689456063</v>
      </c>
      <c r="AX141" s="176">
        <v>0</v>
      </c>
      <c r="AY141" s="373">
        <v>0</v>
      </c>
      <c r="AZ141" s="382">
        <f>BB141+BD141</f>
        <v>15056.205560000002</v>
      </c>
      <c r="BA141" s="262">
        <f t="shared" si="336"/>
        <v>0.15685680310543937</v>
      </c>
      <c r="BB141" s="176">
        <f>L141-AV141</f>
        <v>15056.205560000002</v>
      </c>
      <c r="BC141" s="375">
        <f t="shared" si="337"/>
        <v>0.15685680310543937</v>
      </c>
      <c r="BD141" s="176">
        <v>0</v>
      </c>
      <c r="BE141" s="262">
        <v>0</v>
      </c>
      <c r="BF141" s="176">
        <f>BH141</f>
        <v>80931.139930000005</v>
      </c>
      <c r="BG141" s="585">
        <f t="shared" si="354"/>
        <v>1.0000049306356968</v>
      </c>
      <c r="BH141" s="176">
        <v>80931.139930000005</v>
      </c>
      <c r="BI141" s="586">
        <f t="shared" si="355"/>
        <v>1.0000049306356968</v>
      </c>
      <c r="BJ141" s="614">
        <v>0</v>
      </c>
      <c r="BK141" s="586">
        <v>0</v>
      </c>
      <c r="BL141" s="176">
        <f>BN141</f>
        <v>-0.39904000000387896</v>
      </c>
      <c r="BM141" s="586">
        <f t="shared" si="356"/>
        <v>-4.9306356968392129E-6</v>
      </c>
      <c r="BN141" s="176">
        <f t="shared" si="379"/>
        <v>-0.39904000000387896</v>
      </c>
      <c r="BO141" s="586">
        <f t="shared" si="348"/>
        <v>-4.9306356968392129E-6</v>
      </c>
      <c r="BP141" s="176">
        <f t="shared" si="357"/>
        <v>0</v>
      </c>
      <c r="BQ141" s="586">
        <v>0</v>
      </c>
      <c r="BR141" s="176">
        <f t="shared" si="350"/>
        <v>15055.806519999998</v>
      </c>
      <c r="BS141" s="587">
        <f t="shared" si="358"/>
        <v>0.15685264587349521</v>
      </c>
      <c r="BT141" s="486">
        <f t="shared" si="380"/>
        <v>15055.806519999998</v>
      </c>
      <c r="BU141" s="587">
        <f t="shared" si="351"/>
        <v>0.15685264587349521</v>
      </c>
      <c r="BV141" s="176">
        <f t="shared" si="373"/>
        <v>0</v>
      </c>
      <c r="BW141" s="54">
        <v>0</v>
      </c>
      <c r="BX141" s="609" t="s">
        <v>229</v>
      </c>
      <c r="BY141" s="271" t="e">
        <f t="shared" si="381"/>
        <v>#DIV/0!</v>
      </c>
      <c r="BZ141" s="176" t="e">
        <f t="shared" si="392"/>
        <v>#REF!</v>
      </c>
      <c r="CA141" s="271" t="e">
        <f>BZ141/#REF!</f>
        <v>#REF!</v>
      </c>
      <c r="CB141" s="176" t="e">
        <f>#REF!-#REF!</f>
        <v>#REF!</v>
      </c>
      <c r="CC141" s="271" t="e">
        <f t="shared" si="340"/>
        <v>#REF!</v>
      </c>
      <c r="CD141" s="176" t="e">
        <f>#REF!-BX141</f>
        <v>#REF!</v>
      </c>
      <c r="CE141" s="271" t="e">
        <f t="shared" si="383"/>
        <v>#DIV/0!</v>
      </c>
      <c r="CF141" s="176">
        <f t="shared" si="393"/>
        <v>0</v>
      </c>
      <c r="CG141" s="396"/>
      <c r="CH141" s="176">
        <f t="shared" si="394"/>
        <v>0</v>
      </c>
      <c r="CI141" s="396"/>
      <c r="CJ141" s="176">
        <f t="shared" si="395"/>
        <v>0</v>
      </c>
      <c r="CK141" s="397"/>
    </row>
    <row r="142" spans="1:92" s="3" customFormat="1" ht="31.5" hidden="1" customHeight="1">
      <c r="A142" s="605"/>
      <c r="B142" s="304" t="s">
        <v>235</v>
      </c>
      <c r="C142" s="270" t="s">
        <v>236</v>
      </c>
      <c r="D142" s="274"/>
      <c r="E142" s="249">
        <f t="shared" si="384"/>
        <v>302533.96158</v>
      </c>
      <c r="F142" s="249">
        <v>302533.96158</v>
      </c>
      <c r="G142" s="249"/>
      <c r="H142" s="249">
        <f t="shared" si="385"/>
        <v>-217533.96158</v>
      </c>
      <c r="I142" s="385">
        <f t="shared" si="386"/>
        <v>-217533.96158</v>
      </c>
      <c r="J142" s="385">
        <f t="shared" si="386"/>
        <v>0</v>
      </c>
      <c r="K142" s="176">
        <f t="shared" si="387"/>
        <v>85000</v>
      </c>
      <c r="L142" s="176">
        <f>R142</f>
        <v>85000</v>
      </c>
      <c r="M142" s="176">
        <v>0</v>
      </c>
      <c r="N142" s="176">
        <f t="shared" si="396"/>
        <v>0</v>
      </c>
      <c r="O142" s="176">
        <f t="shared" si="397"/>
        <v>0</v>
      </c>
      <c r="P142" s="382"/>
      <c r="Q142" s="175">
        <f t="shared" si="388"/>
        <v>85000</v>
      </c>
      <c r="R142" s="175">
        <v>85000</v>
      </c>
      <c r="S142" s="175"/>
      <c r="T142" s="176">
        <f t="shared" si="398"/>
        <v>203633.75545999999</v>
      </c>
      <c r="U142" s="607">
        <f t="shared" si="232"/>
        <v>2.3956912407058821</v>
      </c>
      <c r="V142" s="176">
        <v>203633.75545999999</v>
      </c>
      <c r="W142" s="607">
        <f t="shared" si="233"/>
        <v>2.3956912407058821</v>
      </c>
      <c r="X142" s="176"/>
      <c r="Y142" s="607">
        <v>0</v>
      </c>
      <c r="Z142" s="176">
        <f t="shared" si="389"/>
        <v>-118633.75545999999</v>
      </c>
      <c r="AA142" s="607">
        <f t="shared" si="235"/>
        <v>-1.3956912407058821</v>
      </c>
      <c r="AB142" s="176">
        <f t="shared" si="399"/>
        <v>-118633.75545999999</v>
      </c>
      <c r="AC142" s="607">
        <f t="shared" si="236"/>
        <v>-1.3956912407058821</v>
      </c>
      <c r="AD142" s="176"/>
      <c r="AE142" s="176">
        <f t="shared" si="390"/>
        <v>0</v>
      </c>
      <c r="AF142" s="176"/>
      <c r="AG142" s="176"/>
      <c r="AH142" s="176">
        <f t="shared" si="391"/>
        <v>75232.663329999996</v>
      </c>
      <c r="AI142" s="176">
        <v>75232.663329999996</v>
      </c>
      <c r="AJ142" s="176"/>
      <c r="AK142" s="176">
        <f>AN142+AQ142</f>
        <v>5619.2446399999999</v>
      </c>
      <c r="AL142" s="608">
        <f t="shared" si="331"/>
        <v>7.4691555386678085E-2</v>
      </c>
      <c r="AM142" s="608">
        <f t="shared" si="361"/>
        <v>6.6108760470588238E-2</v>
      </c>
      <c r="AN142" s="176">
        <v>5619.2446399999999</v>
      </c>
      <c r="AO142" s="608">
        <f t="shared" si="332"/>
        <v>7.4691555386678085E-2</v>
      </c>
      <c r="AP142" s="608">
        <f t="shared" si="362"/>
        <v>6.6108760470588238E-2</v>
      </c>
      <c r="AQ142" s="176">
        <v>0</v>
      </c>
      <c r="AR142" s="608" t="e">
        <f t="shared" si="333"/>
        <v>#DIV/0!</v>
      </c>
      <c r="AS142" s="608">
        <v>0</v>
      </c>
      <c r="AT142" s="176">
        <f>AV142+AX142</f>
        <v>35881.267590000003</v>
      </c>
      <c r="AU142" s="584">
        <f t="shared" si="334"/>
        <v>0.42213255988235299</v>
      </c>
      <c r="AV142" s="176">
        <f t="shared" ref="AV142:AV143" si="400">BH142</f>
        <v>35881.267590000003</v>
      </c>
      <c r="AW142" s="373">
        <f t="shared" si="335"/>
        <v>0.42213255988235299</v>
      </c>
      <c r="AX142" s="176">
        <v>0</v>
      </c>
      <c r="AY142" s="373">
        <v>0</v>
      </c>
      <c r="AZ142" s="382">
        <f>BB142+BD142</f>
        <v>49118.732409999997</v>
      </c>
      <c r="BA142" s="262">
        <f t="shared" si="336"/>
        <v>0.57786744011764701</v>
      </c>
      <c r="BB142" s="176">
        <f>L142-AV142</f>
        <v>49118.732409999997</v>
      </c>
      <c r="BC142" s="375">
        <f t="shared" si="337"/>
        <v>0.57786744011764701</v>
      </c>
      <c r="BD142" s="382">
        <f>G142-AX142</f>
        <v>0</v>
      </c>
      <c r="BE142" s="262">
        <v>0</v>
      </c>
      <c r="BF142" s="176">
        <f>BH142+BJ142</f>
        <v>35881.267590000003</v>
      </c>
      <c r="BG142" s="585">
        <f t="shared" si="354"/>
        <v>1</v>
      </c>
      <c r="BH142" s="176">
        <v>35881.267590000003</v>
      </c>
      <c r="BI142" s="586">
        <f t="shared" si="355"/>
        <v>1</v>
      </c>
      <c r="BJ142" s="176">
        <v>0</v>
      </c>
      <c r="BK142" s="586">
        <v>0</v>
      </c>
      <c r="BL142" s="176">
        <f>BN142+BP142</f>
        <v>0</v>
      </c>
      <c r="BM142" s="586">
        <f t="shared" si="356"/>
        <v>0</v>
      </c>
      <c r="BN142" s="176">
        <f t="shared" si="379"/>
        <v>0</v>
      </c>
      <c r="BO142" s="586">
        <f t="shared" si="348"/>
        <v>0</v>
      </c>
      <c r="BP142" s="176">
        <f t="shared" si="357"/>
        <v>0</v>
      </c>
      <c r="BQ142" s="586">
        <v>0</v>
      </c>
      <c r="BR142" s="176">
        <f t="shared" si="350"/>
        <v>49118.732409999997</v>
      </c>
      <c r="BS142" s="587">
        <f t="shared" si="358"/>
        <v>0.57786744011764701</v>
      </c>
      <c r="BT142" s="486">
        <f t="shared" si="380"/>
        <v>49118.732409999997</v>
      </c>
      <c r="BU142" s="587">
        <f t="shared" si="351"/>
        <v>0.57786744011764701</v>
      </c>
      <c r="BV142" s="176">
        <f t="shared" si="373"/>
        <v>0</v>
      </c>
      <c r="BW142" s="54">
        <v>0</v>
      </c>
      <c r="BX142" s="1185" t="s">
        <v>237</v>
      </c>
      <c r="BY142" s="271" t="e">
        <f t="shared" si="381"/>
        <v>#DIV/0!</v>
      </c>
      <c r="BZ142" s="176" t="e">
        <f t="shared" si="392"/>
        <v>#REF!</v>
      </c>
      <c r="CA142" s="271" t="e">
        <f>BZ142/#REF!</f>
        <v>#REF!</v>
      </c>
      <c r="CB142" s="176" t="e">
        <f>#REF!-#REF!</f>
        <v>#REF!</v>
      </c>
      <c r="CC142" s="271" t="e">
        <f t="shared" si="340"/>
        <v>#REF!</v>
      </c>
      <c r="CD142" s="176"/>
      <c r="CE142" s="271" t="e">
        <f t="shared" si="383"/>
        <v>#DIV/0!</v>
      </c>
      <c r="CF142" s="176">
        <f t="shared" si="393"/>
        <v>0</v>
      </c>
      <c r="CG142" s="396"/>
      <c r="CH142" s="176">
        <f t="shared" si="394"/>
        <v>0</v>
      </c>
      <c r="CI142" s="396"/>
      <c r="CJ142" s="176">
        <f t="shared" si="395"/>
        <v>0</v>
      </c>
      <c r="CK142" s="397"/>
    </row>
    <row r="143" spans="1:92" s="3" customFormat="1" ht="53.25" hidden="1" customHeight="1">
      <c r="A143" s="605"/>
      <c r="B143" s="612" t="s">
        <v>238</v>
      </c>
      <c r="C143" s="270" t="s">
        <v>239</v>
      </c>
      <c r="D143" s="274" t="s">
        <v>84</v>
      </c>
      <c r="E143" s="249">
        <f t="shared" si="384"/>
        <v>13091.92699</v>
      </c>
      <c r="F143" s="249">
        <v>13091.92699</v>
      </c>
      <c r="G143" s="249"/>
      <c r="H143" s="249">
        <f t="shared" si="385"/>
        <v>-9744.9761899999994</v>
      </c>
      <c r="I143" s="385">
        <f t="shared" si="386"/>
        <v>-9744.9761899999994</v>
      </c>
      <c r="J143" s="385">
        <f t="shared" si="386"/>
        <v>0</v>
      </c>
      <c r="K143" s="176">
        <f t="shared" si="387"/>
        <v>3346.9508000000001</v>
      </c>
      <c r="L143" s="176">
        <f>R143</f>
        <v>3346.9508000000001</v>
      </c>
      <c r="M143" s="176">
        <v>0</v>
      </c>
      <c r="N143" s="176">
        <f t="shared" si="396"/>
        <v>0</v>
      </c>
      <c r="O143" s="176">
        <f t="shared" si="397"/>
        <v>0</v>
      </c>
      <c r="P143" s="382"/>
      <c r="Q143" s="175">
        <f t="shared" si="388"/>
        <v>3346.9508000000001</v>
      </c>
      <c r="R143" s="175">
        <v>3346.9508000000001</v>
      </c>
      <c r="S143" s="175"/>
      <c r="T143" s="176">
        <f t="shared" si="398"/>
        <v>12046.589900000001</v>
      </c>
      <c r="U143" s="607">
        <f t="shared" si="232"/>
        <v>3.5992730756603892</v>
      </c>
      <c r="V143" s="176">
        <v>12046.589900000001</v>
      </c>
      <c r="W143" s="607">
        <f t="shared" si="233"/>
        <v>3.5992730756603892</v>
      </c>
      <c r="X143" s="176"/>
      <c r="Y143" s="607">
        <v>0</v>
      </c>
      <c r="Z143" s="176">
        <f t="shared" si="389"/>
        <v>-8699.6391000000003</v>
      </c>
      <c r="AA143" s="607">
        <f t="shared" si="235"/>
        <v>-2.5992730756603892</v>
      </c>
      <c r="AB143" s="176">
        <f t="shared" ref="AB143" si="401">L143-V143</f>
        <v>-8699.6391000000003</v>
      </c>
      <c r="AC143" s="607">
        <f t="shared" si="236"/>
        <v>-2.5992730756603892</v>
      </c>
      <c r="AD143" s="176"/>
      <c r="AE143" s="176">
        <f t="shared" si="390"/>
        <v>0</v>
      </c>
      <c r="AF143" s="176"/>
      <c r="AG143" s="176"/>
      <c r="AH143" s="176">
        <f t="shared" si="391"/>
        <v>7230.5049600000002</v>
      </c>
      <c r="AI143" s="176">
        <v>7230.5049600000002</v>
      </c>
      <c r="AJ143" s="176"/>
      <c r="AK143" s="176">
        <f>AN143+AQ143</f>
        <v>321.39559000000003</v>
      </c>
      <c r="AL143" s="608">
        <f t="shared" si="331"/>
        <v>4.4449950837181916E-2</v>
      </c>
      <c r="AM143" s="608">
        <f t="shared" si="361"/>
        <v>9.6026386166178493E-2</v>
      </c>
      <c r="AN143" s="176">
        <v>321.39559000000003</v>
      </c>
      <c r="AO143" s="608">
        <f t="shared" si="332"/>
        <v>4.4449950837181916E-2</v>
      </c>
      <c r="AP143" s="608">
        <f t="shared" si="362"/>
        <v>9.6026386166178493E-2</v>
      </c>
      <c r="AQ143" s="176">
        <v>0</v>
      </c>
      <c r="AR143" s="608" t="e">
        <f t="shared" si="333"/>
        <v>#DIV/0!</v>
      </c>
      <c r="AS143" s="608">
        <v>0</v>
      </c>
      <c r="AT143" s="176">
        <f>AV143+AX143</f>
        <v>860.56579999999997</v>
      </c>
      <c r="AU143" s="584">
        <f t="shared" si="334"/>
        <v>0.25711934576391143</v>
      </c>
      <c r="AV143" s="176">
        <f t="shared" si="400"/>
        <v>860.56579999999997</v>
      </c>
      <c r="AW143" s="373">
        <f t="shared" si="335"/>
        <v>0.25711934576391143</v>
      </c>
      <c r="AX143" s="176">
        <v>0</v>
      </c>
      <c r="AY143" s="373">
        <v>0</v>
      </c>
      <c r="AZ143" s="382">
        <f>BB143+BD143</f>
        <v>2486.3850000000002</v>
      </c>
      <c r="BA143" s="262">
        <f t="shared" si="336"/>
        <v>0.74288065423608862</v>
      </c>
      <c r="BB143" s="176">
        <f>L143-AV143</f>
        <v>2486.3850000000002</v>
      </c>
      <c r="BC143" s="375">
        <f t="shared" si="337"/>
        <v>0.74288065423608862</v>
      </c>
      <c r="BD143" s="382">
        <f>G143-AX143</f>
        <v>0</v>
      </c>
      <c r="BE143" s="262">
        <v>0</v>
      </c>
      <c r="BF143" s="176">
        <f>BH143+BJ143</f>
        <v>860.56579999999997</v>
      </c>
      <c r="BG143" s="585">
        <f t="shared" si="354"/>
        <v>1</v>
      </c>
      <c r="BH143" s="176">
        <v>860.56579999999997</v>
      </c>
      <c r="BI143" s="586">
        <f t="shared" si="355"/>
        <v>1</v>
      </c>
      <c r="BJ143" s="176">
        <v>0</v>
      </c>
      <c r="BK143" s="586">
        <v>0</v>
      </c>
      <c r="BL143" s="176">
        <f>BN143+BP143</f>
        <v>0</v>
      </c>
      <c r="BM143" s="586">
        <f t="shared" si="356"/>
        <v>0</v>
      </c>
      <c r="BN143" s="176">
        <f t="shared" si="379"/>
        <v>0</v>
      </c>
      <c r="BO143" s="586">
        <f t="shared" si="348"/>
        <v>0</v>
      </c>
      <c r="BP143" s="176">
        <f t="shared" si="357"/>
        <v>0</v>
      </c>
      <c r="BQ143" s="586">
        <v>0</v>
      </c>
      <c r="BR143" s="176">
        <f t="shared" si="350"/>
        <v>2486.3850000000002</v>
      </c>
      <c r="BS143" s="584">
        <f t="shared" si="358"/>
        <v>0.74288065423608862</v>
      </c>
      <c r="BT143" s="486">
        <f t="shared" si="380"/>
        <v>2486.3850000000002</v>
      </c>
      <c r="BU143" s="584">
        <f t="shared" si="351"/>
        <v>0.74288065423608862</v>
      </c>
      <c r="BV143" s="176">
        <f t="shared" si="373"/>
        <v>0</v>
      </c>
      <c r="BW143" s="54">
        <v>0</v>
      </c>
      <c r="BX143" s="1187"/>
      <c r="BY143" s="271" t="e">
        <f t="shared" si="381"/>
        <v>#DIV/0!</v>
      </c>
      <c r="BZ143" s="176" t="e">
        <f t="shared" si="392"/>
        <v>#REF!</v>
      </c>
      <c r="CA143" s="271" t="e">
        <f>BZ143/#REF!</f>
        <v>#REF!</v>
      </c>
      <c r="CB143" s="176" t="e">
        <f>#REF!-#REF!</f>
        <v>#REF!</v>
      </c>
      <c r="CC143" s="271" t="e">
        <f t="shared" si="340"/>
        <v>#REF!</v>
      </c>
      <c r="CD143" s="176"/>
      <c r="CE143" s="271" t="e">
        <f t="shared" si="383"/>
        <v>#DIV/0!</v>
      </c>
      <c r="CF143" s="176">
        <f t="shared" si="393"/>
        <v>0</v>
      </c>
      <c r="CG143" s="396"/>
      <c r="CH143" s="176">
        <f t="shared" si="394"/>
        <v>0</v>
      </c>
      <c r="CI143" s="396"/>
      <c r="CJ143" s="176">
        <f t="shared" si="395"/>
        <v>0</v>
      </c>
      <c r="CK143" s="397"/>
      <c r="CN143" s="615"/>
    </row>
    <row r="144" spans="1:92" s="616" customFormat="1" ht="49.5" customHeight="1" thickBot="1">
      <c r="B144" s="617" t="s">
        <v>240</v>
      </c>
      <c r="C144" s="582" t="s">
        <v>241</v>
      </c>
      <c r="D144" s="502" t="s">
        <v>242</v>
      </c>
      <c r="E144" s="502">
        <f t="shared" si="384"/>
        <v>102533.29598</v>
      </c>
      <c r="F144" s="502">
        <f>F145</f>
        <v>102533.29598</v>
      </c>
      <c r="G144" s="502">
        <f>G145</f>
        <v>0</v>
      </c>
      <c r="H144" s="502">
        <f t="shared" si="385"/>
        <v>-62533.295979999995</v>
      </c>
      <c r="I144" s="502">
        <f>I145</f>
        <v>-62533.295979999995</v>
      </c>
      <c r="J144" s="502">
        <f>J145</f>
        <v>0</v>
      </c>
      <c r="K144" s="161">
        <f t="shared" si="387"/>
        <v>40000</v>
      </c>
      <c r="L144" s="161">
        <f>L145</f>
        <v>40000</v>
      </c>
      <c r="M144" s="161">
        <f>M145</f>
        <v>0</v>
      </c>
      <c r="N144" s="161">
        <f t="shared" si="396"/>
        <v>0</v>
      </c>
      <c r="O144" s="161">
        <f>O145</f>
        <v>0</v>
      </c>
      <c r="P144" s="161">
        <f>P145</f>
        <v>0</v>
      </c>
      <c r="Q144" s="160">
        <f t="shared" si="388"/>
        <v>40000</v>
      </c>
      <c r="R144" s="160">
        <f>R145</f>
        <v>40000</v>
      </c>
      <c r="S144" s="160">
        <f>S145</f>
        <v>0</v>
      </c>
      <c r="T144" s="161">
        <f>T145</f>
        <v>47462.832000000002</v>
      </c>
      <c r="U144" s="583">
        <f t="shared" si="232"/>
        <v>1.1865708000000001</v>
      </c>
      <c r="V144" s="161">
        <f>V145</f>
        <v>47462.832000000002</v>
      </c>
      <c r="W144" s="583">
        <f t="shared" si="233"/>
        <v>1.1865708000000001</v>
      </c>
      <c r="X144" s="161">
        <f>X145</f>
        <v>0</v>
      </c>
      <c r="Y144" s="583" t="e">
        <f t="shared" si="234"/>
        <v>#DIV/0!</v>
      </c>
      <c r="Z144" s="161">
        <f t="shared" si="389"/>
        <v>-7462.8320000000022</v>
      </c>
      <c r="AA144" s="583">
        <f t="shared" si="235"/>
        <v>-0.18657080000000006</v>
      </c>
      <c r="AB144" s="161">
        <f>AB145</f>
        <v>-7462.8320000000022</v>
      </c>
      <c r="AC144" s="583">
        <f t="shared" si="236"/>
        <v>-0.18657080000000006</v>
      </c>
      <c r="AD144" s="161">
        <f>AD145</f>
        <v>0</v>
      </c>
      <c r="AE144" s="161">
        <f t="shared" si="390"/>
        <v>0</v>
      </c>
      <c r="AF144" s="161">
        <f>AF145</f>
        <v>0</v>
      </c>
      <c r="AG144" s="161"/>
      <c r="AH144" s="161">
        <f t="shared" si="391"/>
        <v>47462.832000000002</v>
      </c>
      <c r="AI144" s="161">
        <f>AI145</f>
        <v>47462.832000000002</v>
      </c>
      <c r="AJ144" s="161"/>
      <c r="AK144" s="161">
        <f>AK145</f>
        <v>0</v>
      </c>
      <c r="AL144" s="583">
        <v>0</v>
      </c>
      <c r="AM144" s="583">
        <f t="shared" si="361"/>
        <v>0</v>
      </c>
      <c r="AN144" s="161">
        <f>AN145</f>
        <v>0</v>
      </c>
      <c r="AO144" s="583">
        <f t="shared" si="332"/>
        <v>0</v>
      </c>
      <c r="AP144" s="583">
        <f t="shared" si="362"/>
        <v>0</v>
      </c>
      <c r="AQ144" s="161">
        <f>AQ145</f>
        <v>0</v>
      </c>
      <c r="AR144" s="583" t="e">
        <f t="shared" si="333"/>
        <v>#DIV/0!</v>
      </c>
      <c r="AS144" s="583">
        <v>0</v>
      </c>
      <c r="AT144" s="161">
        <f>AT145</f>
        <v>40000</v>
      </c>
      <c r="AU144" s="550">
        <f t="shared" si="334"/>
        <v>1</v>
      </c>
      <c r="AV144" s="161">
        <f>AV145</f>
        <v>40000</v>
      </c>
      <c r="AW144" s="374">
        <f t="shared" si="335"/>
        <v>1</v>
      </c>
      <c r="AX144" s="161">
        <f>AX145</f>
        <v>0</v>
      </c>
      <c r="AY144" s="377">
        <v>0</v>
      </c>
      <c r="AZ144" s="161">
        <f>AZ145</f>
        <v>0</v>
      </c>
      <c r="BA144" s="443">
        <f t="shared" si="336"/>
        <v>0</v>
      </c>
      <c r="BB144" s="161">
        <f>BB145</f>
        <v>0</v>
      </c>
      <c r="BC144" s="377">
        <f t="shared" si="337"/>
        <v>0</v>
      </c>
      <c r="BD144" s="161">
        <f>BD145</f>
        <v>0</v>
      </c>
      <c r="BE144" s="443">
        <v>0</v>
      </c>
      <c r="BF144" s="161">
        <f>BF145</f>
        <v>40000</v>
      </c>
      <c r="BG144" s="586">
        <f t="shared" si="354"/>
        <v>1</v>
      </c>
      <c r="BH144" s="161">
        <f>BH145</f>
        <v>40000</v>
      </c>
      <c r="BI144" s="586">
        <f t="shared" si="355"/>
        <v>1</v>
      </c>
      <c r="BJ144" s="161">
        <v>0</v>
      </c>
      <c r="BK144" s="586">
        <v>0</v>
      </c>
      <c r="BL144" s="161">
        <f>BN144+BP144</f>
        <v>0</v>
      </c>
      <c r="BM144" s="586">
        <f t="shared" si="356"/>
        <v>0</v>
      </c>
      <c r="BN144" s="161">
        <f t="shared" si="379"/>
        <v>0</v>
      </c>
      <c r="BO144" s="586">
        <f t="shared" si="348"/>
        <v>0</v>
      </c>
      <c r="BP144" s="161">
        <f t="shared" si="357"/>
        <v>0</v>
      </c>
      <c r="BQ144" s="586">
        <v>0</v>
      </c>
      <c r="BR144" s="161">
        <f t="shared" si="350"/>
        <v>0</v>
      </c>
      <c r="BS144" s="597">
        <f t="shared" si="358"/>
        <v>0</v>
      </c>
      <c r="BT144" s="54">
        <f t="shared" si="380"/>
        <v>0</v>
      </c>
      <c r="BU144" s="597">
        <f t="shared" si="351"/>
        <v>0</v>
      </c>
      <c r="BV144" s="161">
        <f t="shared" si="373"/>
        <v>0</v>
      </c>
      <c r="BW144" s="54">
        <v>0</v>
      </c>
      <c r="BX144" s="505"/>
      <c r="BY144" s="265" t="e">
        <f t="shared" si="381"/>
        <v>#DIV/0!</v>
      </c>
      <c r="BZ144" s="161" t="e">
        <f t="shared" si="392"/>
        <v>#REF!</v>
      </c>
      <c r="CA144" s="265" t="e">
        <f>BZ144/#REF!</f>
        <v>#REF!</v>
      </c>
      <c r="CB144" s="161" t="e">
        <f>CB145</f>
        <v>#REF!</v>
      </c>
      <c r="CC144" s="265" t="e">
        <f t="shared" si="340"/>
        <v>#REF!</v>
      </c>
      <c r="CD144" s="161" t="e">
        <f>CD145</f>
        <v>#REF!</v>
      </c>
      <c r="CE144" s="265" t="e">
        <f t="shared" si="383"/>
        <v>#DIV/0!</v>
      </c>
      <c r="CF144" s="153" t="s">
        <v>243</v>
      </c>
      <c r="CG144" s="153" t="s">
        <v>81</v>
      </c>
      <c r="CH144" s="161">
        <f t="shared" si="394"/>
        <v>0</v>
      </c>
      <c r="CI144" s="618"/>
      <c r="CJ144" s="161">
        <f t="shared" si="395"/>
        <v>0</v>
      </c>
      <c r="CK144" s="619"/>
    </row>
    <row r="145" spans="2:89" s="624" customFormat="1" ht="80.25" hidden="1" customHeight="1">
      <c r="B145" s="620"/>
      <c r="C145" s="582" t="s">
        <v>244</v>
      </c>
      <c r="D145" s="502" t="s">
        <v>232</v>
      </c>
      <c r="E145" s="502">
        <f t="shared" si="384"/>
        <v>102533.29598</v>
      </c>
      <c r="F145" s="502">
        <v>102533.29598</v>
      </c>
      <c r="G145" s="502"/>
      <c r="H145" s="502">
        <f t="shared" si="385"/>
        <v>-62533.295979999995</v>
      </c>
      <c r="I145" s="621">
        <f>L145-F145</f>
        <v>-62533.295979999995</v>
      </c>
      <c r="J145" s="621">
        <f>M145-G145</f>
        <v>0</v>
      </c>
      <c r="K145" s="161">
        <f t="shared" si="387"/>
        <v>40000</v>
      </c>
      <c r="L145" s="161">
        <f>R145</f>
        <v>40000</v>
      </c>
      <c r="M145" s="161">
        <v>0</v>
      </c>
      <c r="N145" s="161">
        <f t="shared" si="396"/>
        <v>0</v>
      </c>
      <c r="O145" s="166">
        <f>R145-L145</f>
        <v>0</v>
      </c>
      <c r="P145" s="166">
        <v>0</v>
      </c>
      <c r="Q145" s="160">
        <f t="shared" si="388"/>
        <v>40000</v>
      </c>
      <c r="R145" s="160">
        <v>40000</v>
      </c>
      <c r="S145" s="160">
        <f>M145</f>
        <v>0</v>
      </c>
      <c r="T145" s="161">
        <f>V145+X145</f>
        <v>47462.832000000002</v>
      </c>
      <c r="U145" s="583">
        <f t="shared" si="232"/>
        <v>1.1865708000000001</v>
      </c>
      <c r="V145" s="161">
        <f>47462.832</f>
        <v>47462.832000000002</v>
      </c>
      <c r="W145" s="583">
        <f t="shared" si="233"/>
        <v>1.1865708000000001</v>
      </c>
      <c r="X145" s="161"/>
      <c r="Y145" s="583" t="e">
        <f t="shared" si="234"/>
        <v>#DIV/0!</v>
      </c>
      <c r="Z145" s="161">
        <f t="shared" si="389"/>
        <v>-7462.8320000000022</v>
      </c>
      <c r="AA145" s="583">
        <f t="shared" si="235"/>
        <v>-0.18657080000000006</v>
      </c>
      <c r="AB145" s="161">
        <f t="shared" ref="AB145" si="402">L145-V145</f>
        <v>-7462.8320000000022</v>
      </c>
      <c r="AC145" s="583">
        <f t="shared" si="236"/>
        <v>-0.18657080000000006</v>
      </c>
      <c r="AD145" s="161">
        <f>S145-X145</f>
        <v>0</v>
      </c>
      <c r="AE145" s="161">
        <f t="shared" si="390"/>
        <v>0</v>
      </c>
      <c r="AF145" s="161"/>
      <c r="AG145" s="161"/>
      <c r="AH145" s="161">
        <f t="shared" si="391"/>
        <v>47462.832000000002</v>
      </c>
      <c r="AI145" s="161">
        <v>47462.832000000002</v>
      </c>
      <c r="AJ145" s="161"/>
      <c r="AK145" s="161">
        <f>AN145+AQ145</f>
        <v>0</v>
      </c>
      <c r="AL145" s="583">
        <f t="shared" si="331"/>
        <v>0</v>
      </c>
      <c r="AM145" s="583">
        <f t="shared" si="361"/>
        <v>0</v>
      </c>
      <c r="AN145" s="161">
        <v>0</v>
      </c>
      <c r="AO145" s="583">
        <f t="shared" si="332"/>
        <v>0</v>
      </c>
      <c r="AP145" s="583">
        <f t="shared" si="362"/>
        <v>0</v>
      </c>
      <c r="AQ145" s="161">
        <v>0</v>
      </c>
      <c r="AR145" s="583" t="e">
        <f t="shared" si="333"/>
        <v>#DIV/0!</v>
      </c>
      <c r="AS145" s="583">
        <v>0</v>
      </c>
      <c r="AT145" s="161">
        <f>AV145+AX145</f>
        <v>40000</v>
      </c>
      <c r="AU145" s="550">
        <f t="shared" si="334"/>
        <v>1</v>
      </c>
      <c r="AV145" s="161">
        <f>L145</f>
        <v>40000</v>
      </c>
      <c r="AW145" s="374">
        <f t="shared" si="335"/>
        <v>1</v>
      </c>
      <c r="AX145" s="161">
        <v>0</v>
      </c>
      <c r="AY145" s="377">
        <v>0</v>
      </c>
      <c r="AZ145" s="166">
        <f>BB145+BD145</f>
        <v>0</v>
      </c>
      <c r="BA145" s="443">
        <f t="shared" si="336"/>
        <v>0</v>
      </c>
      <c r="BB145" s="161">
        <f>L145-AV145</f>
        <v>0</v>
      </c>
      <c r="BC145" s="377">
        <f t="shared" si="337"/>
        <v>0</v>
      </c>
      <c r="BD145" s="161">
        <f>S145-AX145</f>
        <v>0</v>
      </c>
      <c r="BE145" s="443">
        <v>0</v>
      </c>
      <c r="BF145" s="161">
        <f>BH145</f>
        <v>40000</v>
      </c>
      <c r="BG145" s="586">
        <f t="shared" si="354"/>
        <v>1</v>
      </c>
      <c r="BH145" s="161">
        <f>'[1]тыс. руб 1 знак'!$AV$142</f>
        <v>40000</v>
      </c>
      <c r="BI145" s="586">
        <f t="shared" si="355"/>
        <v>1</v>
      </c>
      <c r="BJ145" s="161">
        <v>0</v>
      </c>
      <c r="BK145" s="586">
        <v>0</v>
      </c>
      <c r="BL145" s="161">
        <f>BN145</f>
        <v>0</v>
      </c>
      <c r="BM145" s="586">
        <f t="shared" si="356"/>
        <v>0</v>
      </c>
      <c r="BN145" s="161">
        <f t="shared" si="379"/>
        <v>0</v>
      </c>
      <c r="BO145" s="586">
        <f t="shared" si="348"/>
        <v>0</v>
      </c>
      <c r="BP145" s="161">
        <f t="shared" si="357"/>
        <v>0</v>
      </c>
      <c r="BQ145" s="597">
        <v>0</v>
      </c>
      <c r="BR145" s="161">
        <f t="shared" si="350"/>
        <v>0</v>
      </c>
      <c r="BS145" s="597">
        <f t="shared" si="358"/>
        <v>0</v>
      </c>
      <c r="BT145" s="54">
        <f t="shared" si="380"/>
        <v>0</v>
      </c>
      <c r="BU145" s="597">
        <f t="shared" si="351"/>
        <v>0</v>
      </c>
      <c r="BV145" s="161">
        <f t="shared" si="373"/>
        <v>0</v>
      </c>
      <c r="BW145" s="54">
        <v>0</v>
      </c>
      <c r="BX145" s="505"/>
      <c r="BY145" s="265" t="e">
        <f t="shared" si="381"/>
        <v>#DIV/0!</v>
      </c>
      <c r="BZ145" s="161" t="e">
        <f t="shared" si="392"/>
        <v>#REF!</v>
      </c>
      <c r="CA145" s="265" t="e">
        <f>BZ145/#REF!</f>
        <v>#REF!</v>
      </c>
      <c r="CB145" s="161" t="e">
        <f>#REF!-#REF!</f>
        <v>#REF!</v>
      </c>
      <c r="CC145" s="265" t="e">
        <f t="shared" si="340"/>
        <v>#REF!</v>
      </c>
      <c r="CD145" s="161" t="e">
        <f>#REF!-BX145</f>
        <v>#REF!</v>
      </c>
      <c r="CE145" s="265" t="e">
        <f t="shared" si="383"/>
        <v>#DIV/0!</v>
      </c>
      <c r="CF145" s="161">
        <f t="shared" si="393"/>
        <v>0</v>
      </c>
      <c r="CG145" s="622"/>
      <c r="CH145" s="161">
        <f t="shared" si="394"/>
        <v>0</v>
      </c>
      <c r="CI145" s="622"/>
      <c r="CJ145" s="161">
        <f t="shared" si="395"/>
        <v>0</v>
      </c>
      <c r="CK145" s="623"/>
    </row>
    <row r="146" spans="2:89" s="580" customFormat="1" ht="90" hidden="1" customHeight="1" thickBot="1">
      <c r="B146" s="581"/>
      <c r="C146" s="625" t="s">
        <v>98</v>
      </c>
      <c r="D146" s="626" t="s">
        <v>84</v>
      </c>
      <c r="E146" s="627">
        <f t="shared" si="384"/>
        <v>0</v>
      </c>
      <c r="F146" s="627"/>
      <c r="G146" s="627"/>
      <c r="H146" s="627">
        <f t="shared" si="385"/>
        <v>0</v>
      </c>
      <c r="I146" s="591">
        <f>L146-F146</f>
        <v>0</v>
      </c>
      <c r="J146" s="591">
        <f>M146-G146</f>
        <v>0</v>
      </c>
      <c r="K146" s="333">
        <f t="shared" si="387"/>
        <v>0</v>
      </c>
      <c r="L146" s="333"/>
      <c r="M146" s="333"/>
      <c r="N146" s="161">
        <f t="shared" si="396"/>
        <v>0</v>
      </c>
      <c r="O146" s="461">
        <f>R146-L146</f>
        <v>0</v>
      </c>
      <c r="P146" s="461">
        <f>S146-M146</f>
        <v>0</v>
      </c>
      <c r="Q146" s="628">
        <f t="shared" si="388"/>
        <v>0</v>
      </c>
      <c r="R146" s="628"/>
      <c r="S146" s="628"/>
      <c r="T146" s="333"/>
      <c r="U146" s="583" t="e">
        <f t="shared" si="232"/>
        <v>#DIV/0!</v>
      </c>
      <c r="V146" s="333"/>
      <c r="W146" s="583" t="e">
        <f t="shared" si="233"/>
        <v>#DIV/0!</v>
      </c>
      <c r="X146" s="333"/>
      <c r="Y146" s="583" t="e">
        <f t="shared" si="234"/>
        <v>#DIV/0!</v>
      </c>
      <c r="Z146" s="333">
        <f t="shared" si="389"/>
        <v>0</v>
      </c>
      <c r="AA146" s="583" t="e">
        <f t="shared" si="235"/>
        <v>#DIV/0!</v>
      </c>
      <c r="AB146" s="333"/>
      <c r="AC146" s="583" t="e">
        <f t="shared" si="236"/>
        <v>#DIV/0!</v>
      </c>
      <c r="AD146" s="333"/>
      <c r="AE146" s="333">
        <f t="shared" si="390"/>
        <v>0</v>
      </c>
      <c r="AF146" s="333"/>
      <c r="AG146" s="333"/>
      <c r="AH146" s="333">
        <f t="shared" si="391"/>
        <v>0</v>
      </c>
      <c r="AI146" s="333"/>
      <c r="AJ146" s="333"/>
      <c r="AK146" s="161">
        <f>AN146+AQ146</f>
        <v>0</v>
      </c>
      <c r="AL146" s="164" t="e">
        <f t="shared" si="331"/>
        <v>#DIV/0!</v>
      </c>
      <c r="AM146" s="164" t="e">
        <f t="shared" si="361"/>
        <v>#DIV/0!</v>
      </c>
      <c r="AN146" s="333"/>
      <c r="AO146" s="164" t="e">
        <f t="shared" si="332"/>
        <v>#DIV/0!</v>
      </c>
      <c r="AP146" s="164" t="e">
        <f t="shared" si="362"/>
        <v>#DIV/0!</v>
      </c>
      <c r="AQ146" s="333"/>
      <c r="AR146" s="164" t="e">
        <f t="shared" si="333"/>
        <v>#DIV/0!</v>
      </c>
      <c r="AS146" s="164" t="e">
        <f t="shared" si="346"/>
        <v>#DIV/0!</v>
      </c>
      <c r="AT146" s="161">
        <f>AV146+AX146</f>
        <v>0</v>
      </c>
      <c r="AU146" s="550">
        <v>0</v>
      </c>
      <c r="AV146" s="161">
        <v>0</v>
      </c>
      <c r="AW146" s="374">
        <v>0</v>
      </c>
      <c r="AX146" s="161">
        <v>0</v>
      </c>
      <c r="AY146" s="374">
        <v>0</v>
      </c>
      <c r="AZ146" s="629">
        <f>BB146+BD146</f>
        <v>0</v>
      </c>
      <c r="BA146" s="443" t="e">
        <f t="shared" si="336"/>
        <v>#DIV/0!</v>
      </c>
      <c r="BB146" s="629">
        <f>L146-AV146</f>
        <v>0</v>
      </c>
      <c r="BC146" s="377" t="e">
        <f t="shared" si="337"/>
        <v>#DIV/0!</v>
      </c>
      <c r="BD146" s="629">
        <f>G146-AX146</f>
        <v>0</v>
      </c>
      <c r="BE146" s="165" t="e">
        <f>BD146/S146</f>
        <v>#DIV/0!</v>
      </c>
      <c r="BF146" s="333">
        <f>BH146+BJ146</f>
        <v>0</v>
      </c>
      <c r="BG146" s="586" t="e">
        <f t="shared" si="354"/>
        <v>#DIV/0!</v>
      </c>
      <c r="BH146" s="333"/>
      <c r="BI146" s="586" t="e">
        <f t="shared" si="355"/>
        <v>#DIV/0!</v>
      </c>
      <c r="BJ146" s="333"/>
      <c r="BK146" s="586">
        <v>0</v>
      </c>
      <c r="BL146" s="333">
        <f>BN146+BP146</f>
        <v>0</v>
      </c>
      <c r="BM146" s="549" t="e">
        <f t="shared" si="356"/>
        <v>#DIV/0!</v>
      </c>
      <c r="BN146" s="333">
        <f t="shared" si="379"/>
        <v>0</v>
      </c>
      <c r="BO146" s="586" t="e">
        <f t="shared" si="348"/>
        <v>#DIV/0!</v>
      </c>
      <c r="BP146" s="161">
        <f t="shared" si="357"/>
        <v>0</v>
      </c>
      <c r="BQ146" s="597">
        <v>0</v>
      </c>
      <c r="BR146" s="161">
        <f t="shared" si="350"/>
        <v>0</v>
      </c>
      <c r="BS146" s="597" t="e">
        <f t="shared" si="358"/>
        <v>#DIV/0!</v>
      </c>
      <c r="BT146" s="54">
        <f t="shared" si="380"/>
        <v>0</v>
      </c>
      <c r="BU146" s="597" t="e">
        <f t="shared" si="351"/>
        <v>#DIV/0!</v>
      </c>
      <c r="BV146" s="161">
        <f t="shared" si="373"/>
        <v>0</v>
      </c>
      <c r="BW146" s="54">
        <v>0</v>
      </c>
      <c r="BX146" s="505"/>
      <c r="BY146" s="265" t="e">
        <f t="shared" si="381"/>
        <v>#DIV/0!</v>
      </c>
      <c r="BZ146" s="333">
        <f t="shared" si="392"/>
        <v>0</v>
      </c>
      <c r="CA146" s="265" t="e">
        <f>BZ146/#REF!</f>
        <v>#REF!</v>
      </c>
      <c r="CB146" s="333"/>
      <c r="CC146" s="265" t="e">
        <f t="shared" si="340"/>
        <v>#DIV/0!</v>
      </c>
      <c r="CD146" s="333"/>
      <c r="CE146" s="630" t="e">
        <f>SUM(CD146/#REF!)</f>
        <v>#REF!</v>
      </c>
      <c r="CF146" s="333">
        <f t="shared" si="393"/>
        <v>0</v>
      </c>
      <c r="CG146" s="589"/>
      <c r="CH146" s="333">
        <f t="shared" si="394"/>
        <v>0</v>
      </c>
      <c r="CI146" s="589"/>
      <c r="CJ146" s="333">
        <f t="shared" si="395"/>
        <v>0</v>
      </c>
      <c r="CK146" s="590"/>
    </row>
    <row r="147" spans="2:89" s="572" customFormat="1" ht="31.5" customHeight="1" thickBot="1">
      <c r="B147" s="581" t="s">
        <v>245</v>
      </c>
      <c r="C147" s="582" t="s">
        <v>246</v>
      </c>
      <c r="D147" s="502" t="s">
        <v>247</v>
      </c>
      <c r="E147" s="502">
        <f t="shared" ref="E147:T147" si="403">E148+E149+E150</f>
        <v>1658679.91301</v>
      </c>
      <c r="F147" s="502">
        <f t="shared" si="403"/>
        <v>1658679.91301</v>
      </c>
      <c r="G147" s="502">
        <f t="shared" si="403"/>
        <v>0</v>
      </c>
      <c r="H147" s="502">
        <f t="shared" si="403"/>
        <v>263902.3153999999</v>
      </c>
      <c r="I147" s="502">
        <f t="shared" si="403"/>
        <v>263902.3153999999</v>
      </c>
      <c r="J147" s="502">
        <f t="shared" si="403"/>
        <v>0</v>
      </c>
      <c r="K147" s="161">
        <f t="shared" si="403"/>
        <v>1922582.2284099997</v>
      </c>
      <c r="L147" s="161">
        <f t="shared" si="403"/>
        <v>1922582.2284099997</v>
      </c>
      <c r="M147" s="161">
        <f t="shared" si="403"/>
        <v>0</v>
      </c>
      <c r="N147" s="161">
        <f t="shared" si="403"/>
        <v>2.4738255888223648E-10</v>
      </c>
      <c r="O147" s="161">
        <f>O148+O149+O150</f>
        <v>2.4738255888223648E-10</v>
      </c>
      <c r="P147" s="161">
        <f t="shared" si="403"/>
        <v>0</v>
      </c>
      <c r="Q147" s="160">
        <f t="shared" si="403"/>
        <v>1922582.2284100002</v>
      </c>
      <c r="R147" s="160">
        <f t="shared" si="403"/>
        <v>1922582.2284100002</v>
      </c>
      <c r="S147" s="160">
        <f t="shared" si="403"/>
        <v>0</v>
      </c>
      <c r="T147" s="161">
        <f t="shared" si="403"/>
        <v>1645832.11855</v>
      </c>
      <c r="U147" s="583">
        <f t="shared" si="232"/>
        <v>0.85605291374773806</v>
      </c>
      <c r="V147" s="161">
        <f>V148+V149+V150</f>
        <v>1645832.11855</v>
      </c>
      <c r="W147" s="583">
        <f t="shared" si="233"/>
        <v>0.85605291374773806</v>
      </c>
      <c r="X147" s="161">
        <f>X148+X149+X150</f>
        <v>0</v>
      </c>
      <c r="Y147" s="583" t="e">
        <f t="shared" si="234"/>
        <v>#DIV/0!</v>
      </c>
      <c r="Z147" s="161">
        <f t="shared" ref="Z147:AK147" si="404">Z148+Z149+Z150</f>
        <v>276750.1098600002</v>
      </c>
      <c r="AA147" s="583">
        <f t="shared" si="235"/>
        <v>0.14394708625226191</v>
      </c>
      <c r="AB147" s="161">
        <f t="shared" si="404"/>
        <v>276750.1098600002</v>
      </c>
      <c r="AC147" s="583">
        <f t="shared" si="236"/>
        <v>0.14394708625226191</v>
      </c>
      <c r="AD147" s="161">
        <f t="shared" si="404"/>
        <v>0</v>
      </c>
      <c r="AE147" s="161">
        <f t="shared" si="404"/>
        <v>0</v>
      </c>
      <c r="AF147" s="161">
        <f t="shared" si="404"/>
        <v>0</v>
      </c>
      <c r="AG147" s="161">
        <f t="shared" si="404"/>
        <v>0</v>
      </c>
      <c r="AH147" s="161">
        <f t="shared" si="404"/>
        <v>547748.47661000001</v>
      </c>
      <c r="AI147" s="161">
        <f t="shared" si="404"/>
        <v>547748.47661000001</v>
      </c>
      <c r="AJ147" s="161">
        <f t="shared" si="404"/>
        <v>0</v>
      </c>
      <c r="AK147" s="161">
        <f t="shared" si="404"/>
        <v>190675.02799</v>
      </c>
      <c r="AL147" s="164">
        <f t="shared" si="331"/>
        <v>0.34810690696956825</v>
      </c>
      <c r="AM147" s="164">
        <f t="shared" si="361"/>
        <v>9.917652684623568E-2</v>
      </c>
      <c r="AN147" s="161">
        <f>AN148+AN149+AN150</f>
        <v>190675.02799</v>
      </c>
      <c r="AO147" s="164">
        <f t="shared" si="332"/>
        <v>0.34810690696956825</v>
      </c>
      <c r="AP147" s="164">
        <f t="shared" si="362"/>
        <v>9.917652684623568E-2</v>
      </c>
      <c r="AQ147" s="161">
        <f>AQ148+AQ149+AQ150</f>
        <v>0</v>
      </c>
      <c r="AR147" s="164" t="e">
        <f t="shared" si="333"/>
        <v>#DIV/0!</v>
      </c>
      <c r="AS147" s="164">
        <v>0</v>
      </c>
      <c r="AT147" s="161">
        <f>AV147+AX147</f>
        <v>1793957.6032400001</v>
      </c>
      <c r="AU147" s="550">
        <f t="shared" ref="AU147:AU153" si="405">AT147/K147</f>
        <v>0.9330979849551746</v>
      </c>
      <c r="AV147" s="161">
        <f>AV148+AV149+AV150</f>
        <v>1793957.6032400001</v>
      </c>
      <c r="AW147" s="374">
        <f>AV147/L147</f>
        <v>0.9330979849551746</v>
      </c>
      <c r="AX147" s="161">
        <f>AX148+AX149+AX150</f>
        <v>0</v>
      </c>
      <c r="AY147" s="374">
        <v>0</v>
      </c>
      <c r="AZ147" s="161">
        <f t="shared" ref="AZ147:BL147" si="406">AZ148+AZ149+AZ150</f>
        <v>128624.62516999978</v>
      </c>
      <c r="BA147" s="443">
        <f t="shared" si="336"/>
        <v>6.6902015044825416E-2</v>
      </c>
      <c r="BB147" s="161">
        <f t="shared" si="406"/>
        <v>128624.62516999978</v>
      </c>
      <c r="BC147" s="377">
        <f t="shared" si="337"/>
        <v>6.6902015044825416E-2</v>
      </c>
      <c r="BD147" s="161">
        <f t="shared" si="406"/>
        <v>0</v>
      </c>
      <c r="BE147" s="443">
        <v>0</v>
      </c>
      <c r="BF147" s="161">
        <f t="shared" si="406"/>
        <v>1793957.6032400001</v>
      </c>
      <c r="BG147" s="586">
        <f t="shared" si="354"/>
        <v>1</v>
      </c>
      <c r="BH147" s="161">
        <f t="shared" si="406"/>
        <v>1793957.6032400001</v>
      </c>
      <c r="BI147" s="586">
        <f t="shared" si="355"/>
        <v>1</v>
      </c>
      <c r="BJ147" s="161">
        <f t="shared" si="406"/>
        <v>0</v>
      </c>
      <c r="BK147" s="586">
        <v>0</v>
      </c>
      <c r="BL147" s="161">
        <f t="shared" si="406"/>
        <v>0</v>
      </c>
      <c r="BM147" s="575">
        <f t="shared" si="356"/>
        <v>0</v>
      </c>
      <c r="BN147" s="161">
        <f t="shared" si="379"/>
        <v>0</v>
      </c>
      <c r="BO147" s="586">
        <f t="shared" si="348"/>
        <v>0</v>
      </c>
      <c r="BP147" s="161">
        <f t="shared" si="357"/>
        <v>0</v>
      </c>
      <c r="BQ147" s="586">
        <v>0</v>
      </c>
      <c r="BR147" s="161">
        <f t="shared" si="350"/>
        <v>128624.62516999966</v>
      </c>
      <c r="BS147" s="597">
        <f t="shared" si="358"/>
        <v>6.6902015044825361E-2</v>
      </c>
      <c r="BT147" s="54">
        <f t="shared" si="380"/>
        <v>128624.62516999966</v>
      </c>
      <c r="BU147" s="597">
        <f t="shared" si="351"/>
        <v>6.6902015044825361E-2</v>
      </c>
      <c r="BV147" s="161">
        <f t="shared" si="373"/>
        <v>0</v>
      </c>
      <c r="BW147" s="54">
        <v>0</v>
      </c>
      <c r="BX147" s="505"/>
      <c r="BY147" s="265" t="e">
        <f t="shared" si="381"/>
        <v>#DIV/0!</v>
      </c>
      <c r="BZ147" s="161" t="e">
        <f t="shared" ref="BZ147" si="407">BZ148+BZ149+BZ150</f>
        <v>#REF!</v>
      </c>
      <c r="CA147" s="265" t="e">
        <f>BZ147/#REF!</f>
        <v>#REF!</v>
      </c>
      <c r="CB147" s="161" t="e">
        <f t="shared" ref="CB147" si="408">CB148+CB149+CB150</f>
        <v>#REF!</v>
      </c>
      <c r="CC147" s="630"/>
      <c r="CD147" s="161">
        <f t="shared" ref="CD147" si="409">CD148+CD149+CD150</f>
        <v>0</v>
      </c>
      <c r="CE147" s="630" t="e">
        <f>SUM(CD147/#REF!)</f>
        <v>#REF!</v>
      </c>
      <c r="CF147" s="166" t="s">
        <v>248</v>
      </c>
      <c r="CG147" s="166" t="s">
        <v>81</v>
      </c>
      <c r="CH147" s="161">
        <f t="shared" ref="CH147" si="410">CH148+CH149+CH150</f>
        <v>0</v>
      </c>
      <c r="CI147" s="578"/>
      <c r="CJ147" s="161">
        <f t="shared" ref="CJ147" si="411">CJ148+CJ149+CJ150</f>
        <v>0</v>
      </c>
      <c r="CK147" s="579"/>
    </row>
    <row r="148" spans="2:89" s="632" customFormat="1" ht="36" hidden="1" customHeight="1">
      <c r="B148" s="304"/>
      <c r="C148" s="249" t="s">
        <v>244</v>
      </c>
      <c r="D148" s="274" t="s">
        <v>232</v>
      </c>
      <c r="E148" s="249">
        <f>F148+G148</f>
        <v>1603679.91301</v>
      </c>
      <c r="F148" s="249">
        <v>1603679.91301</v>
      </c>
      <c r="G148" s="249">
        <v>0</v>
      </c>
      <c r="H148" s="249">
        <f>I148+J148</f>
        <v>236256.71793999989</v>
      </c>
      <c r="I148" s="385">
        <f t="shared" ref="I148:J150" si="412">L148-F148</f>
        <v>236256.71793999989</v>
      </c>
      <c r="J148" s="385">
        <f t="shared" si="412"/>
        <v>0</v>
      </c>
      <c r="K148" s="176">
        <f>L148+M148</f>
        <v>1839936.6309499999</v>
      </c>
      <c r="L148" s="176">
        <v>1839936.6309499999</v>
      </c>
      <c r="M148" s="176">
        <v>0</v>
      </c>
      <c r="N148" s="176">
        <f>O148+P148</f>
        <v>-43517.275559999747</v>
      </c>
      <c r="O148" s="176">
        <f>R148-L148</f>
        <v>-43517.275559999747</v>
      </c>
      <c r="P148" s="382"/>
      <c r="Q148" s="175">
        <f>R148+S148</f>
        <v>1796419.3553900002</v>
      </c>
      <c r="R148" s="175">
        <f>1695712.36639+100706.989</f>
        <v>1796419.3553900002</v>
      </c>
      <c r="S148" s="175">
        <f>M148</f>
        <v>0</v>
      </c>
      <c r="T148" s="176">
        <f>V148+X148</f>
        <v>1625459.3700699999</v>
      </c>
      <c r="U148" s="607">
        <f t="shared" si="232"/>
        <v>0.90483291954796097</v>
      </c>
      <c r="V148" s="176">
        <v>1625459.3700699999</v>
      </c>
      <c r="W148" s="607">
        <f t="shared" si="233"/>
        <v>0.90483291954796097</v>
      </c>
      <c r="X148" s="176">
        <f>S148</f>
        <v>0</v>
      </c>
      <c r="Y148" s="607" t="e">
        <f t="shared" si="234"/>
        <v>#DIV/0!</v>
      </c>
      <c r="Z148" s="176">
        <f t="shared" ref="Z148:Z150" si="413">AB148+AD148</f>
        <v>170959.98532000021</v>
      </c>
      <c r="AA148" s="607">
        <f t="shared" si="235"/>
        <v>9.5167080452039018E-2</v>
      </c>
      <c r="AB148" s="176">
        <f>R148-V148</f>
        <v>170959.98532000021</v>
      </c>
      <c r="AC148" s="607">
        <f t="shared" si="236"/>
        <v>9.5167080452039018E-2</v>
      </c>
      <c r="AD148" s="176"/>
      <c r="AE148" s="176">
        <f>AF148+AG148</f>
        <v>0</v>
      </c>
      <c r="AF148" s="176"/>
      <c r="AG148" s="176"/>
      <c r="AH148" s="176">
        <f>AI148+AJ148</f>
        <v>539780.33779999998</v>
      </c>
      <c r="AI148" s="176">
        <v>539780.33779999998</v>
      </c>
      <c r="AJ148" s="176">
        <f>M148</f>
        <v>0</v>
      </c>
      <c r="AK148" s="176">
        <f>AN148+AQ148</f>
        <v>184251.43655000001</v>
      </c>
      <c r="AL148" s="608">
        <f t="shared" si="331"/>
        <v>0.34134521702098208</v>
      </c>
      <c r="AM148" s="608">
        <f t="shared" si="361"/>
        <v>0.10256593817984069</v>
      </c>
      <c r="AN148" s="176">
        <v>184251.43655000001</v>
      </c>
      <c r="AO148" s="608">
        <f t="shared" si="332"/>
        <v>0.34134521702098208</v>
      </c>
      <c r="AP148" s="608">
        <f t="shared" si="362"/>
        <v>0.10256593817984069</v>
      </c>
      <c r="AQ148" s="176">
        <f>AJ148</f>
        <v>0</v>
      </c>
      <c r="AR148" s="608" t="e">
        <f t="shared" si="333"/>
        <v>#DIV/0!</v>
      </c>
      <c r="AS148" s="608">
        <v>0</v>
      </c>
      <c r="AT148" s="176">
        <f>AV148+AX148</f>
        <v>1716009.1936300001</v>
      </c>
      <c r="AU148" s="584">
        <f t="shared" si="405"/>
        <v>0.93264581223321086</v>
      </c>
      <c r="AV148" s="176">
        <f>BH148</f>
        <v>1716009.1936300001</v>
      </c>
      <c r="AW148" s="373">
        <f>AV148/L148</f>
        <v>0.93264581223321086</v>
      </c>
      <c r="AX148" s="176">
        <v>0</v>
      </c>
      <c r="AY148" s="261">
        <v>0</v>
      </c>
      <c r="AZ148" s="382">
        <f t="shared" ref="AZ148:AZ161" si="414">BB148+BD148</f>
        <v>123927.43731999979</v>
      </c>
      <c r="BA148" s="262">
        <f t="shared" si="336"/>
        <v>6.7354187766789184E-2</v>
      </c>
      <c r="BB148" s="176">
        <f>L148-AV148</f>
        <v>123927.43731999979</v>
      </c>
      <c r="BC148" s="375">
        <f t="shared" si="337"/>
        <v>6.7354187766789184E-2</v>
      </c>
      <c r="BD148" s="382">
        <f>M148-AX148</f>
        <v>0</v>
      </c>
      <c r="BE148" s="262">
        <v>0</v>
      </c>
      <c r="BF148" s="176">
        <f>BH148+BJ148</f>
        <v>1716009.1936300001</v>
      </c>
      <c r="BG148" s="585">
        <f t="shared" si="354"/>
        <v>1</v>
      </c>
      <c r="BH148" s="176">
        <v>1716009.1936300001</v>
      </c>
      <c r="BI148" s="586">
        <f t="shared" si="355"/>
        <v>1</v>
      </c>
      <c r="BJ148" s="176">
        <v>0</v>
      </c>
      <c r="BK148" s="586">
        <v>0</v>
      </c>
      <c r="BL148" s="176">
        <f>BN148+BP148</f>
        <v>0</v>
      </c>
      <c r="BM148" s="586">
        <f t="shared" si="356"/>
        <v>0</v>
      </c>
      <c r="BN148" s="176">
        <f t="shared" si="379"/>
        <v>0</v>
      </c>
      <c r="BO148" s="586">
        <f t="shared" si="348"/>
        <v>0</v>
      </c>
      <c r="BP148" s="176">
        <f t="shared" si="357"/>
        <v>0</v>
      </c>
      <c r="BQ148" s="586">
        <v>0</v>
      </c>
      <c r="BR148" s="176">
        <f t="shared" si="350"/>
        <v>123927.43731999979</v>
      </c>
      <c r="BS148" s="597">
        <f t="shared" si="358"/>
        <v>6.7354187766789184E-2</v>
      </c>
      <c r="BT148" s="486">
        <f t="shared" si="380"/>
        <v>123927.43731999979</v>
      </c>
      <c r="BU148" s="597">
        <f t="shared" si="351"/>
        <v>6.7354187766789184E-2</v>
      </c>
      <c r="BV148" s="176">
        <f t="shared" si="373"/>
        <v>0</v>
      </c>
      <c r="BW148" s="54">
        <v>0</v>
      </c>
      <c r="BX148" s="609" t="s">
        <v>249</v>
      </c>
      <c r="BY148" s="271" t="e">
        <f t="shared" si="381"/>
        <v>#DIV/0!</v>
      </c>
      <c r="BZ148" s="176" t="e">
        <f t="shared" ref="BZ148:BZ150" si="415">CB148+CD148</f>
        <v>#REF!</v>
      </c>
      <c r="CA148" s="271" t="e">
        <f>BZ148/#REF!</f>
        <v>#REF!</v>
      </c>
      <c r="CB148" s="176" t="e">
        <f>#REF!-#REF!</f>
        <v>#REF!</v>
      </c>
      <c r="CC148" s="631" t="e">
        <f>SUM(CB148/BV148)</f>
        <v>#REF!</v>
      </c>
      <c r="CD148" s="176"/>
      <c r="CE148" s="631" t="e">
        <f>SUM(CD148/#REF!)</f>
        <v>#REF!</v>
      </c>
      <c r="CF148" s="176">
        <f>CG148+CH148</f>
        <v>0</v>
      </c>
      <c r="CG148" s="396"/>
      <c r="CH148" s="176">
        <f>CI148+CJ148</f>
        <v>0</v>
      </c>
      <c r="CI148" s="396"/>
      <c r="CJ148" s="176">
        <f>CK148+CL148</f>
        <v>0</v>
      </c>
      <c r="CK148" s="397"/>
    </row>
    <row r="149" spans="2:89" s="632" customFormat="1" ht="51" hidden="1" customHeight="1">
      <c r="B149" s="581"/>
      <c r="C149" s="427" t="s">
        <v>236</v>
      </c>
      <c r="D149" s="494"/>
      <c r="E149" s="249">
        <f>F149+G149</f>
        <v>0</v>
      </c>
      <c r="F149" s="249"/>
      <c r="G149" s="249"/>
      <c r="H149" s="249">
        <f>I149+J149</f>
        <v>35747.315790000001</v>
      </c>
      <c r="I149" s="385">
        <f t="shared" si="412"/>
        <v>35747.315790000001</v>
      </c>
      <c r="J149" s="385">
        <f t="shared" si="412"/>
        <v>0</v>
      </c>
      <c r="K149" s="176">
        <f>L149+M149</f>
        <v>35747.315790000001</v>
      </c>
      <c r="L149" s="176">
        <v>35747.315790000001</v>
      </c>
      <c r="M149" s="176">
        <v>0</v>
      </c>
      <c r="N149" s="176">
        <f>O149+P149</f>
        <v>37788.982209999995</v>
      </c>
      <c r="O149" s="176">
        <f t="shared" ref="O149:O150" si="416">R149-L149</f>
        <v>37788.982209999995</v>
      </c>
      <c r="P149" s="382"/>
      <c r="Q149" s="175">
        <f>R149+S149</f>
        <v>73536.297999999995</v>
      </c>
      <c r="R149" s="175">
        <v>73536.297999999995</v>
      </c>
      <c r="S149" s="175"/>
      <c r="T149" s="161">
        <f t="shared" ref="T149:T150" si="417">V149+X149</f>
        <v>0</v>
      </c>
      <c r="U149" s="583">
        <f t="shared" si="232"/>
        <v>0</v>
      </c>
      <c r="V149" s="176"/>
      <c r="W149" s="583">
        <f t="shared" si="233"/>
        <v>0</v>
      </c>
      <c r="X149" s="176"/>
      <c r="Y149" s="583" t="e">
        <f t="shared" si="234"/>
        <v>#DIV/0!</v>
      </c>
      <c r="Z149" s="176">
        <f t="shared" si="413"/>
        <v>73536.297999999995</v>
      </c>
      <c r="AA149" s="583">
        <f t="shared" si="235"/>
        <v>1</v>
      </c>
      <c r="AB149" s="176">
        <f t="shared" ref="AB149:AB150" si="418">R149-V149</f>
        <v>73536.297999999995</v>
      </c>
      <c r="AC149" s="583">
        <f t="shared" si="236"/>
        <v>1</v>
      </c>
      <c r="AD149" s="176"/>
      <c r="AE149" s="176">
        <f>AF149+AG149</f>
        <v>0</v>
      </c>
      <c r="AF149" s="176"/>
      <c r="AG149" s="176"/>
      <c r="AH149" s="176">
        <f>AI149+AJ149</f>
        <v>0</v>
      </c>
      <c r="AI149" s="176"/>
      <c r="AJ149" s="176"/>
      <c r="AK149" s="176">
        <f>AN149+AQ149</f>
        <v>0</v>
      </c>
      <c r="AL149" s="164" t="e">
        <f t="shared" si="331"/>
        <v>#DIV/0!</v>
      </c>
      <c r="AM149" s="608">
        <f t="shared" si="361"/>
        <v>0</v>
      </c>
      <c r="AN149" s="176">
        <v>0</v>
      </c>
      <c r="AO149" s="608" t="e">
        <f t="shared" si="332"/>
        <v>#DIV/0!</v>
      </c>
      <c r="AP149" s="608">
        <f t="shared" si="362"/>
        <v>0</v>
      </c>
      <c r="AQ149" s="176">
        <v>0</v>
      </c>
      <c r="AR149" s="164" t="e">
        <f t="shared" si="333"/>
        <v>#DIV/0!</v>
      </c>
      <c r="AS149" s="608">
        <v>0</v>
      </c>
      <c r="AT149" s="176">
        <f t="shared" ref="AT149:AT150" si="419">AV149+AX149</f>
        <v>33949.724829999999</v>
      </c>
      <c r="AU149" s="584">
        <f t="shared" si="405"/>
        <v>0.94971395976805451</v>
      </c>
      <c r="AV149" s="176">
        <f t="shared" ref="AV149:AV150" si="420">BH149</f>
        <v>33949.724829999999</v>
      </c>
      <c r="AW149" s="373">
        <f>AV149/L149</f>
        <v>0.94971395976805451</v>
      </c>
      <c r="AX149" s="176">
        <v>0</v>
      </c>
      <c r="AY149" s="633">
        <v>0</v>
      </c>
      <c r="AZ149" s="382">
        <f t="shared" si="414"/>
        <v>1797.5909600000014</v>
      </c>
      <c r="BA149" s="262">
        <f t="shared" si="336"/>
        <v>5.0286040231945522E-2</v>
      </c>
      <c r="BB149" s="176">
        <f>L149-AV149</f>
        <v>1797.5909600000014</v>
      </c>
      <c r="BC149" s="375">
        <f t="shared" si="337"/>
        <v>5.0286040231945522E-2</v>
      </c>
      <c r="BD149" s="166">
        <f>M149-AX149</f>
        <v>0</v>
      </c>
      <c r="BE149" s="443">
        <v>0</v>
      </c>
      <c r="BF149" s="176">
        <f>BH149+BJ149</f>
        <v>33949.724829999999</v>
      </c>
      <c r="BG149" s="586">
        <f t="shared" si="354"/>
        <v>1</v>
      </c>
      <c r="BH149" s="176">
        <v>33949.724829999999</v>
      </c>
      <c r="BI149" s="586">
        <f t="shared" si="355"/>
        <v>1</v>
      </c>
      <c r="BJ149" s="176">
        <v>0</v>
      </c>
      <c r="BK149" s="586">
        <v>0</v>
      </c>
      <c r="BL149" s="176">
        <f t="shared" ref="BL149:BL150" si="421">BN149+BP149</f>
        <v>0</v>
      </c>
      <c r="BM149" s="586">
        <f t="shared" si="356"/>
        <v>0</v>
      </c>
      <c r="BN149" s="176">
        <f t="shared" si="379"/>
        <v>0</v>
      </c>
      <c r="BO149" s="586">
        <f t="shared" si="348"/>
        <v>0</v>
      </c>
      <c r="BP149" s="176">
        <f t="shared" si="357"/>
        <v>0</v>
      </c>
      <c r="BQ149" s="586">
        <v>0</v>
      </c>
      <c r="BR149" s="176">
        <f t="shared" si="350"/>
        <v>1797.5909600000014</v>
      </c>
      <c r="BS149" s="597">
        <f t="shared" si="358"/>
        <v>5.0286040231945522E-2</v>
      </c>
      <c r="BT149" s="176">
        <f t="shared" si="380"/>
        <v>1797.5909600000014</v>
      </c>
      <c r="BU149" s="597">
        <f t="shared" si="351"/>
        <v>5.0286040231945522E-2</v>
      </c>
      <c r="BV149" s="176">
        <f t="shared" si="373"/>
        <v>0</v>
      </c>
      <c r="BW149" s="54">
        <v>0</v>
      </c>
      <c r="BX149" s="609" t="s">
        <v>250</v>
      </c>
      <c r="BY149" s="265" t="e">
        <f t="shared" si="381"/>
        <v>#DIV/0!</v>
      </c>
      <c r="BZ149" s="176" t="e">
        <f t="shared" si="415"/>
        <v>#REF!</v>
      </c>
      <c r="CA149" s="265" t="e">
        <f>BZ149/#REF!</f>
        <v>#REF!</v>
      </c>
      <c r="CB149" s="176" t="e">
        <f>#REF!-#REF!</f>
        <v>#REF!</v>
      </c>
      <c r="CC149" s="631"/>
      <c r="CD149" s="176"/>
      <c r="CE149" s="631"/>
      <c r="CF149" s="176">
        <f>CG149+CH149</f>
        <v>0</v>
      </c>
      <c r="CG149" s="396"/>
      <c r="CH149" s="176">
        <f>CI149+CJ149</f>
        <v>0</v>
      </c>
      <c r="CI149" s="396"/>
      <c r="CJ149" s="176">
        <f>CK149+CL149</f>
        <v>0</v>
      </c>
      <c r="CK149" s="397"/>
    </row>
    <row r="150" spans="2:89" s="632" customFormat="1" ht="30.75" hidden="1" customHeight="1" thickBot="1">
      <c r="B150" s="634"/>
      <c r="C150" s="635" t="s">
        <v>98</v>
      </c>
      <c r="D150" s="317" t="s">
        <v>84</v>
      </c>
      <c r="E150" s="320">
        <f>F150+G150</f>
        <v>55000</v>
      </c>
      <c r="F150" s="320">
        <v>55000</v>
      </c>
      <c r="G150" s="320"/>
      <c r="H150" s="320">
        <f>I150+J150</f>
        <v>-8101.7183300000033</v>
      </c>
      <c r="I150" s="453">
        <f t="shared" si="412"/>
        <v>-8101.7183300000033</v>
      </c>
      <c r="J150" s="453">
        <f t="shared" si="412"/>
        <v>0</v>
      </c>
      <c r="K150" s="191">
        <f>L150+M150</f>
        <v>46898.281669999997</v>
      </c>
      <c r="L150" s="176">
        <v>46898.281669999997</v>
      </c>
      <c r="M150" s="191">
        <v>0</v>
      </c>
      <c r="N150" s="176">
        <f>O150+P150</f>
        <v>5728.2933499999999</v>
      </c>
      <c r="O150" s="176">
        <f t="shared" si="416"/>
        <v>5728.2933499999999</v>
      </c>
      <c r="P150" s="242"/>
      <c r="Q150" s="264">
        <f>R150+S150</f>
        <v>52626.575019999997</v>
      </c>
      <c r="R150" s="264">
        <v>52626.575019999997</v>
      </c>
      <c r="S150" s="264"/>
      <c r="T150" s="192">
        <f t="shared" si="417"/>
        <v>20372.748479999998</v>
      </c>
      <c r="U150" s="636">
        <f t="shared" si="232"/>
        <v>0.3871190263143216</v>
      </c>
      <c r="V150" s="191">
        <v>20372.748479999998</v>
      </c>
      <c r="W150" s="636">
        <f t="shared" si="233"/>
        <v>0.3871190263143216</v>
      </c>
      <c r="X150" s="191"/>
      <c r="Y150" s="636">
        <v>0</v>
      </c>
      <c r="Z150" s="191">
        <f t="shared" si="413"/>
        <v>32253.826539999998</v>
      </c>
      <c r="AA150" s="636">
        <f t="shared" si="235"/>
        <v>0.6128809736856784</v>
      </c>
      <c r="AB150" s="191">
        <f t="shared" si="418"/>
        <v>32253.826539999998</v>
      </c>
      <c r="AC150" s="636">
        <f t="shared" si="236"/>
        <v>0.6128809736856784</v>
      </c>
      <c r="AD150" s="191"/>
      <c r="AE150" s="191">
        <f>AF150+AG150</f>
        <v>0</v>
      </c>
      <c r="AF150" s="191"/>
      <c r="AG150" s="191"/>
      <c r="AH150" s="191">
        <f>AI150+AJ150</f>
        <v>7968.1388100000004</v>
      </c>
      <c r="AI150" s="191">
        <v>7968.1388100000004</v>
      </c>
      <c r="AJ150" s="191"/>
      <c r="AK150" s="191">
        <f>AN150+AQ150</f>
        <v>6423.5914400000001</v>
      </c>
      <c r="AL150" s="197">
        <f t="shared" si="331"/>
        <v>0.80615958044536118</v>
      </c>
      <c r="AM150" s="608">
        <f t="shared" si="361"/>
        <v>0.12205984215310997</v>
      </c>
      <c r="AN150" s="191">
        <v>6423.5914400000001</v>
      </c>
      <c r="AO150" s="637">
        <f t="shared" si="332"/>
        <v>0.80615958044536118</v>
      </c>
      <c r="AP150" s="608">
        <f t="shared" si="362"/>
        <v>0.12205984215310997</v>
      </c>
      <c r="AQ150" s="191">
        <v>0</v>
      </c>
      <c r="AR150" s="197" t="e">
        <f t="shared" si="333"/>
        <v>#DIV/0!</v>
      </c>
      <c r="AS150" s="637">
        <v>0</v>
      </c>
      <c r="AT150" s="176">
        <f t="shared" si="419"/>
        <v>43998.684780000003</v>
      </c>
      <c r="AU150" s="584">
        <f t="shared" si="405"/>
        <v>0.93817264115553267</v>
      </c>
      <c r="AV150" s="176">
        <f t="shared" si="420"/>
        <v>43998.684780000003</v>
      </c>
      <c r="AW150" s="373">
        <f>AV150/L150</f>
        <v>0.93817264115553267</v>
      </c>
      <c r="AX150" s="191">
        <v>0</v>
      </c>
      <c r="AY150" s="633">
        <v>0</v>
      </c>
      <c r="AZ150" s="242">
        <f t="shared" si="414"/>
        <v>2899.5968899999934</v>
      </c>
      <c r="BA150" s="262">
        <f t="shared" si="336"/>
        <v>6.1827358844467308E-2</v>
      </c>
      <c r="BB150" s="176">
        <f>L150-AV150</f>
        <v>2899.5968899999934</v>
      </c>
      <c r="BC150" s="375">
        <f t="shared" si="337"/>
        <v>6.1827358844467308E-2</v>
      </c>
      <c r="BD150" s="638">
        <f>M150-AX150</f>
        <v>0</v>
      </c>
      <c r="BE150" s="639">
        <v>0</v>
      </c>
      <c r="BF150" s="191">
        <f>BH150+BJ150</f>
        <v>43998.684780000003</v>
      </c>
      <c r="BG150" s="640">
        <f t="shared" si="354"/>
        <v>1</v>
      </c>
      <c r="BH150" s="191">
        <v>43998.684780000003</v>
      </c>
      <c r="BI150" s="549">
        <f t="shared" si="355"/>
        <v>1</v>
      </c>
      <c r="BJ150" s="191">
        <v>0</v>
      </c>
      <c r="BK150" s="586">
        <v>0</v>
      </c>
      <c r="BL150" s="176">
        <f t="shared" si="421"/>
        <v>0</v>
      </c>
      <c r="BM150" s="549">
        <f t="shared" si="356"/>
        <v>0</v>
      </c>
      <c r="BN150" s="176">
        <f t="shared" si="379"/>
        <v>0</v>
      </c>
      <c r="BO150" s="549">
        <f t="shared" si="348"/>
        <v>0</v>
      </c>
      <c r="BP150" s="176">
        <f t="shared" si="357"/>
        <v>0</v>
      </c>
      <c r="BQ150" s="586">
        <v>0</v>
      </c>
      <c r="BR150" s="176">
        <f t="shared" si="350"/>
        <v>2899.5968899999934</v>
      </c>
      <c r="BS150" s="597">
        <f t="shared" si="358"/>
        <v>6.1827358844467308E-2</v>
      </c>
      <c r="BT150" s="641">
        <f t="shared" si="380"/>
        <v>2899.5968899999934</v>
      </c>
      <c r="BU150" s="597">
        <f t="shared" si="351"/>
        <v>6.1827358844467308E-2</v>
      </c>
      <c r="BV150" s="176">
        <f t="shared" si="373"/>
        <v>0</v>
      </c>
      <c r="BW150" s="54">
        <v>0</v>
      </c>
      <c r="BX150" s="642" t="s">
        <v>122</v>
      </c>
      <c r="BY150" s="265" t="e">
        <f t="shared" si="381"/>
        <v>#DIV/0!</v>
      </c>
      <c r="BZ150" s="176" t="e">
        <f t="shared" si="415"/>
        <v>#REF!</v>
      </c>
      <c r="CA150" s="265" t="e">
        <f>BZ150/#REF!</f>
        <v>#REF!</v>
      </c>
      <c r="CB150" s="176" t="e">
        <f>#REF!-#REF!</f>
        <v>#REF!</v>
      </c>
      <c r="CC150" s="631" t="e">
        <f>SUM(CB150/BV150)</f>
        <v>#REF!</v>
      </c>
      <c r="CD150" s="176"/>
      <c r="CE150" s="631" t="e">
        <f>SUM(CD150/#REF!)</f>
        <v>#REF!</v>
      </c>
      <c r="CF150" s="176">
        <f>CG150+CH150</f>
        <v>0</v>
      </c>
      <c r="CG150" s="396"/>
      <c r="CH150" s="176">
        <f>CI150+CJ150</f>
        <v>0</v>
      </c>
      <c r="CI150" s="396"/>
      <c r="CJ150" s="176">
        <f>CK150+CL150</f>
        <v>0</v>
      </c>
      <c r="CK150" s="397"/>
    </row>
    <row r="151" spans="2:89" s="571" customFormat="1" ht="51" customHeight="1" thickBot="1">
      <c r="B151" s="643" t="s">
        <v>37</v>
      </c>
      <c r="C151" s="466" t="s">
        <v>251</v>
      </c>
      <c r="D151" s="537" t="s">
        <v>252</v>
      </c>
      <c r="E151" s="537">
        <f>F151+G151</f>
        <v>752473.5</v>
      </c>
      <c r="F151" s="537"/>
      <c r="G151" s="537">
        <f>G152+G155+G156</f>
        <v>752473.5</v>
      </c>
      <c r="H151" s="537">
        <f>I151+J151</f>
        <v>-221429.05721</v>
      </c>
      <c r="I151" s="537"/>
      <c r="J151" s="537">
        <f>J152+J155+J156</f>
        <v>-221429.05721</v>
      </c>
      <c r="K151" s="75">
        <f>L151+M151</f>
        <v>531044.44279</v>
      </c>
      <c r="L151" s="75">
        <v>0</v>
      </c>
      <c r="M151" s="75">
        <f>M152+M155+M156</f>
        <v>531044.44279</v>
      </c>
      <c r="N151" s="75">
        <f>O151+P151</f>
        <v>0</v>
      </c>
      <c r="O151" s="75">
        <v>0</v>
      </c>
      <c r="P151" s="75">
        <f>P152+P155+P156</f>
        <v>0</v>
      </c>
      <c r="Q151" s="74">
        <f>R151+S151</f>
        <v>531044.44279</v>
      </c>
      <c r="R151" s="74"/>
      <c r="S151" s="74">
        <f>S152+S155+S156</f>
        <v>531044.44279</v>
      </c>
      <c r="T151" s="75">
        <f t="shared" ref="T151:BD151" si="422">T152+T155+T156</f>
        <v>531044.44279</v>
      </c>
      <c r="U151" s="75" t="e">
        <f t="shared" si="422"/>
        <v>#DIV/0!</v>
      </c>
      <c r="V151" s="75">
        <f t="shared" si="422"/>
        <v>0</v>
      </c>
      <c r="W151" s="75" t="e">
        <f t="shared" si="422"/>
        <v>#DIV/0!</v>
      </c>
      <c r="X151" s="75">
        <f t="shared" si="422"/>
        <v>531044.44279</v>
      </c>
      <c r="Y151" s="75" t="e">
        <f t="shared" si="422"/>
        <v>#DIV/0!</v>
      </c>
      <c r="Z151" s="75">
        <f t="shared" si="422"/>
        <v>0</v>
      </c>
      <c r="AA151" s="75" t="e">
        <f t="shared" si="422"/>
        <v>#DIV/0!</v>
      </c>
      <c r="AB151" s="75">
        <f t="shared" si="422"/>
        <v>0</v>
      </c>
      <c r="AC151" s="75" t="e">
        <f t="shared" si="422"/>
        <v>#DIV/0!</v>
      </c>
      <c r="AD151" s="75">
        <f t="shared" si="422"/>
        <v>0</v>
      </c>
      <c r="AE151" s="75">
        <f t="shared" si="422"/>
        <v>0</v>
      </c>
      <c r="AF151" s="75">
        <f t="shared" si="422"/>
        <v>0</v>
      </c>
      <c r="AG151" s="75">
        <f t="shared" si="422"/>
        <v>0</v>
      </c>
      <c r="AH151" s="75">
        <f t="shared" si="422"/>
        <v>23406.717570000001</v>
      </c>
      <c r="AI151" s="75">
        <f t="shared" si="422"/>
        <v>0</v>
      </c>
      <c r="AJ151" s="75">
        <f t="shared" si="422"/>
        <v>23406.717570000001</v>
      </c>
      <c r="AK151" s="75">
        <f t="shared" si="422"/>
        <v>313198.50631999999</v>
      </c>
      <c r="AL151" s="75" t="e">
        <f t="shared" si="422"/>
        <v>#DIV/0!</v>
      </c>
      <c r="AM151" s="76">
        <f t="shared" si="361"/>
        <v>0.58977833319282735</v>
      </c>
      <c r="AN151" s="75">
        <f t="shared" si="422"/>
        <v>0</v>
      </c>
      <c r="AO151" s="75" t="e">
        <f t="shared" si="422"/>
        <v>#DIV/0!</v>
      </c>
      <c r="AP151" s="76">
        <v>0</v>
      </c>
      <c r="AQ151" s="75">
        <f t="shared" si="422"/>
        <v>313198.50631999999</v>
      </c>
      <c r="AR151" s="75" t="e">
        <f t="shared" si="422"/>
        <v>#DIV/0!</v>
      </c>
      <c r="AS151" s="75">
        <f>AQ151/M151</f>
        <v>0.58977833319282735</v>
      </c>
      <c r="AT151" s="75">
        <f t="shared" si="422"/>
        <v>508550.46145</v>
      </c>
      <c r="AU151" s="142">
        <f t="shared" si="405"/>
        <v>0.95764199843270903</v>
      </c>
      <c r="AV151" s="75">
        <f t="shared" si="422"/>
        <v>0</v>
      </c>
      <c r="AW151" s="143">
        <v>0</v>
      </c>
      <c r="AX151" s="75">
        <f t="shared" si="422"/>
        <v>508550.46145</v>
      </c>
      <c r="AY151" s="143">
        <f>AX151/M151</f>
        <v>0.95764199843270903</v>
      </c>
      <c r="AZ151" s="75">
        <f t="shared" si="422"/>
        <v>22493.981339999998</v>
      </c>
      <c r="BA151" s="644">
        <v>0</v>
      </c>
      <c r="BB151" s="75">
        <f t="shared" si="422"/>
        <v>0</v>
      </c>
      <c r="BC151" s="644">
        <v>0</v>
      </c>
      <c r="BD151" s="75">
        <f t="shared" si="422"/>
        <v>22493.981339999998</v>
      </c>
      <c r="BE151" s="143">
        <f t="shared" ref="BE151:BE156" si="423">BD151/M151</f>
        <v>4.2358001567291005E-2</v>
      </c>
      <c r="BF151" s="78">
        <f>BH151+BJ151</f>
        <v>508550.46145</v>
      </c>
      <c r="BG151" s="143">
        <f t="shared" si="354"/>
        <v>1</v>
      </c>
      <c r="BH151" s="75">
        <v>0</v>
      </c>
      <c r="BI151" s="143">
        <v>0</v>
      </c>
      <c r="BJ151" s="75">
        <f>BJ152+BJ155+BJ156</f>
        <v>508550.46145</v>
      </c>
      <c r="BK151" s="143">
        <f>BJ151/AX151</f>
        <v>1</v>
      </c>
      <c r="BL151" s="75">
        <f>BN151+BP151</f>
        <v>0</v>
      </c>
      <c r="BM151" s="143">
        <f t="shared" si="356"/>
        <v>0</v>
      </c>
      <c r="BN151" s="75">
        <v>0</v>
      </c>
      <c r="BO151" s="143">
        <v>0</v>
      </c>
      <c r="BP151" s="75">
        <f t="shared" si="357"/>
        <v>0</v>
      </c>
      <c r="BQ151" s="143">
        <f t="shared" si="349"/>
        <v>0</v>
      </c>
      <c r="BR151" s="75">
        <f>BT151+BV151</f>
        <v>22493.981339999998</v>
      </c>
      <c r="BS151" s="142">
        <f t="shared" si="358"/>
        <v>4.2358001567291005E-2</v>
      </c>
      <c r="BT151" s="45">
        <f t="shared" si="359"/>
        <v>0</v>
      </c>
      <c r="BU151" s="576">
        <v>0</v>
      </c>
      <c r="BV151" s="75">
        <f>BV152+BV155</f>
        <v>22493.981339999998</v>
      </c>
      <c r="BW151" s="142">
        <f>BV151/M151</f>
        <v>4.2358001567291005E-2</v>
      </c>
      <c r="BX151" s="645"/>
      <c r="BY151" s="475">
        <f t="shared" si="381"/>
        <v>0</v>
      </c>
      <c r="BZ151" s="476">
        <f>CB151+CD151</f>
        <v>0</v>
      </c>
      <c r="CA151" s="646" t="e">
        <f t="shared" ref="CA151:CA156" si="424">SUM(BZ151/BT151)</f>
        <v>#DIV/0!</v>
      </c>
      <c r="CB151" s="476"/>
      <c r="CC151" s="646"/>
      <c r="CD151" s="476">
        <f>CD152+CD155+CD156</f>
        <v>0</v>
      </c>
      <c r="CE151" s="646" t="e">
        <f>SUM(CD151/#REF!)</f>
        <v>#REF!</v>
      </c>
      <c r="CF151" s="476" t="s">
        <v>253</v>
      </c>
      <c r="CG151" s="476" t="s">
        <v>81</v>
      </c>
      <c r="CH151" s="476">
        <f>CI151+CJ151</f>
        <v>0</v>
      </c>
      <c r="CI151" s="647"/>
      <c r="CJ151" s="476">
        <f>CK151+CL151</f>
        <v>0</v>
      </c>
      <c r="CK151" s="648"/>
    </row>
    <row r="152" spans="2:89" s="624" customFormat="1" ht="42" customHeight="1">
      <c r="B152" s="573" t="s">
        <v>35</v>
      </c>
      <c r="C152" s="649" t="s">
        <v>254</v>
      </c>
      <c r="D152" s="481" t="s">
        <v>255</v>
      </c>
      <c r="E152" s="481">
        <f>F152+G152</f>
        <v>304000</v>
      </c>
      <c r="F152" s="481"/>
      <c r="G152" s="481">
        <f>G153+G154</f>
        <v>304000</v>
      </c>
      <c r="H152" s="481">
        <f>I152+J152</f>
        <v>-74000</v>
      </c>
      <c r="I152" s="481"/>
      <c r="J152" s="481">
        <f>J153+J154</f>
        <v>-74000</v>
      </c>
      <c r="K152" s="54">
        <f>L152+M152</f>
        <v>230000</v>
      </c>
      <c r="L152" s="54">
        <v>0</v>
      </c>
      <c r="M152" s="54">
        <f>M153+M154</f>
        <v>230000</v>
      </c>
      <c r="N152" s="54">
        <f>N153</f>
        <v>0</v>
      </c>
      <c r="O152" s="54">
        <f t="shared" ref="O152:P152" si="425">O153</f>
        <v>0</v>
      </c>
      <c r="P152" s="54">
        <f t="shared" si="425"/>
        <v>0</v>
      </c>
      <c r="Q152" s="53">
        <f>R152+S152</f>
        <v>230000</v>
      </c>
      <c r="R152" s="53"/>
      <c r="S152" s="53">
        <f>S153+S154</f>
        <v>230000</v>
      </c>
      <c r="T152" s="54">
        <f>V152+X152</f>
        <v>230000</v>
      </c>
      <c r="U152" s="145">
        <f t="shared" si="232"/>
        <v>1</v>
      </c>
      <c r="V152" s="54">
        <v>0</v>
      </c>
      <c r="W152" s="145">
        <v>0</v>
      </c>
      <c r="X152" s="54">
        <f>S152</f>
        <v>230000</v>
      </c>
      <c r="Y152" s="145">
        <f t="shared" si="234"/>
        <v>1</v>
      </c>
      <c r="Z152" s="54">
        <f>AB152+AD152</f>
        <v>0</v>
      </c>
      <c r="AA152" s="145">
        <f t="shared" si="235"/>
        <v>0</v>
      </c>
      <c r="AB152" s="54"/>
      <c r="AC152" s="145">
        <v>0</v>
      </c>
      <c r="AD152" s="54">
        <f>AD153+AD154</f>
        <v>0</v>
      </c>
      <c r="AE152" s="54">
        <f>AF152+AG152</f>
        <v>0</v>
      </c>
      <c r="AF152" s="54"/>
      <c r="AG152" s="54">
        <f>AG153+AG154</f>
        <v>0</v>
      </c>
      <c r="AH152" s="54">
        <f>AH153</f>
        <v>23406.717570000001</v>
      </c>
      <c r="AI152" s="54">
        <v>0</v>
      </c>
      <c r="AJ152" s="54">
        <f>AJ153</f>
        <v>23406.717570000001</v>
      </c>
      <c r="AK152" s="54">
        <f>AN152+AQ152</f>
        <v>23406.717570000001</v>
      </c>
      <c r="AL152" s="145">
        <f t="shared" si="331"/>
        <v>1</v>
      </c>
      <c r="AM152" s="583">
        <f t="shared" si="361"/>
        <v>0.10176833726086956</v>
      </c>
      <c r="AN152" s="54">
        <v>0</v>
      </c>
      <c r="AO152" s="145" t="e">
        <f t="shared" si="332"/>
        <v>#DIV/0!</v>
      </c>
      <c r="AP152" s="583">
        <v>0</v>
      </c>
      <c r="AQ152" s="54">
        <f>AQ153</f>
        <v>23406.717570000001</v>
      </c>
      <c r="AR152" s="145">
        <f t="shared" si="333"/>
        <v>1</v>
      </c>
      <c r="AS152" s="145">
        <f t="shared" si="346"/>
        <v>0.10176833726086956</v>
      </c>
      <c r="AT152" s="54">
        <f>AX152</f>
        <v>218758.6727</v>
      </c>
      <c r="AU152" s="550">
        <f t="shared" si="405"/>
        <v>0.95112466391304351</v>
      </c>
      <c r="AV152" s="54">
        <v>0</v>
      </c>
      <c r="AW152" s="377">
        <v>0</v>
      </c>
      <c r="AX152" s="54">
        <v>218758.6727</v>
      </c>
      <c r="AY152" s="377">
        <f>AX152/M152</f>
        <v>0.95112466391304351</v>
      </c>
      <c r="AZ152" s="650">
        <f t="shared" si="414"/>
        <v>11241.327300000004</v>
      </c>
      <c r="BA152" s="377">
        <v>0</v>
      </c>
      <c r="BB152" s="650">
        <f>L152-AV152</f>
        <v>0</v>
      </c>
      <c r="BC152" s="377">
        <v>0</v>
      </c>
      <c r="BD152" s="650">
        <f>S152-AX152</f>
        <v>11241.327300000004</v>
      </c>
      <c r="BE152" s="377">
        <f t="shared" si="423"/>
        <v>4.8875336086956545E-2</v>
      </c>
      <c r="BF152" s="54">
        <f>BF153</f>
        <v>218758.6727</v>
      </c>
      <c r="BG152" s="549">
        <f t="shared" si="354"/>
        <v>1</v>
      </c>
      <c r="BH152" s="54">
        <v>0</v>
      </c>
      <c r="BI152" s="575">
        <v>0</v>
      </c>
      <c r="BJ152" s="54">
        <f>AX152</f>
        <v>218758.6727</v>
      </c>
      <c r="BK152" s="549">
        <f>BJ152/AX152</f>
        <v>1</v>
      </c>
      <c r="BL152" s="54">
        <f>BN152+BP152</f>
        <v>0</v>
      </c>
      <c r="BM152" s="575">
        <f t="shared" si="356"/>
        <v>0</v>
      </c>
      <c r="BN152" s="651">
        <v>0</v>
      </c>
      <c r="BO152" s="575">
        <v>0</v>
      </c>
      <c r="BP152" s="651">
        <f t="shared" si="357"/>
        <v>0</v>
      </c>
      <c r="BQ152" s="575">
        <f t="shared" si="349"/>
        <v>0</v>
      </c>
      <c r="BR152" s="54">
        <f>BV152</f>
        <v>11241.327300000004</v>
      </c>
      <c r="BS152" s="576">
        <f t="shared" si="358"/>
        <v>4.8875336086956545E-2</v>
      </c>
      <c r="BT152" s="54">
        <f t="shared" si="359"/>
        <v>0</v>
      </c>
      <c r="BU152" s="576">
        <v>0</v>
      </c>
      <c r="BV152" s="650">
        <f>BV153</f>
        <v>11241.327300000004</v>
      </c>
      <c r="BW152" s="576">
        <f t="shared" ref="BW152:BW156" si="426">BV152/M152</f>
        <v>4.8875336086956545E-2</v>
      </c>
      <c r="BX152" s="652" t="s">
        <v>256</v>
      </c>
      <c r="BY152" s="265">
        <f t="shared" si="381"/>
        <v>0</v>
      </c>
      <c r="BZ152" s="161">
        <f>CB152+CD152</f>
        <v>0</v>
      </c>
      <c r="CA152" s="162" t="e">
        <f t="shared" si="424"/>
        <v>#DIV/0!</v>
      </c>
      <c r="CB152" s="161"/>
      <c r="CC152" s="162"/>
      <c r="CD152" s="161">
        <f>CD153+CD154</f>
        <v>0</v>
      </c>
      <c r="CE152" s="162" t="e">
        <f>SUM(CD152/#REF!)</f>
        <v>#REF!</v>
      </c>
      <c r="CF152" s="161" t="s">
        <v>257</v>
      </c>
      <c r="CG152" s="161" t="s">
        <v>81</v>
      </c>
      <c r="CH152" s="161">
        <f>CI152+CJ152</f>
        <v>0</v>
      </c>
      <c r="CI152" s="622"/>
      <c r="CJ152" s="161">
        <f>CK152+CL152</f>
        <v>0</v>
      </c>
      <c r="CK152" s="623"/>
    </row>
    <row r="153" spans="2:89" s="3" customFormat="1" ht="43.5" hidden="1" customHeight="1">
      <c r="B153" s="304"/>
      <c r="C153" s="295" t="s">
        <v>258</v>
      </c>
      <c r="D153" s="274"/>
      <c r="E153" s="249">
        <f>G153</f>
        <v>304000</v>
      </c>
      <c r="F153" s="249"/>
      <c r="G153" s="249">
        <v>304000</v>
      </c>
      <c r="H153" s="249">
        <f>J153</f>
        <v>-74000</v>
      </c>
      <c r="I153" s="385"/>
      <c r="J153" s="385">
        <f>M153-G153</f>
        <v>-74000</v>
      </c>
      <c r="K153" s="176">
        <f>M153</f>
        <v>230000</v>
      </c>
      <c r="L153" s="176">
        <v>0</v>
      </c>
      <c r="M153" s="176">
        <v>230000</v>
      </c>
      <c r="N153" s="176">
        <f>P153</f>
        <v>0</v>
      </c>
      <c r="O153" s="382">
        <v>0</v>
      </c>
      <c r="P153" s="382">
        <f>S153-M153</f>
        <v>0</v>
      </c>
      <c r="Q153" s="175">
        <f>M153</f>
        <v>230000</v>
      </c>
      <c r="R153" s="175"/>
      <c r="S153" s="175">
        <f>M153</f>
        <v>230000</v>
      </c>
      <c r="T153" s="176">
        <f t="shared" ref="T153:T156" si="427">V153+X153</f>
        <v>230000</v>
      </c>
      <c r="U153" s="607">
        <f t="shared" si="232"/>
        <v>1</v>
      </c>
      <c r="V153" s="176">
        <v>0</v>
      </c>
      <c r="W153" s="607">
        <v>0</v>
      </c>
      <c r="X153" s="176">
        <f t="shared" ref="X153:X155" si="428">S153</f>
        <v>230000</v>
      </c>
      <c r="Y153" s="607">
        <f t="shared" si="234"/>
        <v>1</v>
      </c>
      <c r="Z153" s="176">
        <f>AD153</f>
        <v>0</v>
      </c>
      <c r="AA153" s="607">
        <f t="shared" si="235"/>
        <v>0</v>
      </c>
      <c r="AB153" s="176"/>
      <c r="AC153" s="607" t="e">
        <f t="shared" si="236"/>
        <v>#DIV/0!</v>
      </c>
      <c r="AD153" s="176"/>
      <c r="AE153" s="176">
        <f>AG153</f>
        <v>0</v>
      </c>
      <c r="AF153" s="176"/>
      <c r="AG153" s="176"/>
      <c r="AH153" s="176">
        <f>AJ153</f>
        <v>23406.717570000001</v>
      </c>
      <c r="AI153" s="176">
        <v>0</v>
      </c>
      <c r="AJ153" s="176">
        <f>AQ153</f>
        <v>23406.717570000001</v>
      </c>
      <c r="AK153" s="176">
        <f>AN153+AQ153</f>
        <v>23406.717570000001</v>
      </c>
      <c r="AL153" s="608">
        <f t="shared" si="331"/>
        <v>1</v>
      </c>
      <c r="AM153" s="608">
        <f t="shared" si="361"/>
        <v>0.10176833726086956</v>
      </c>
      <c r="AN153" s="176">
        <v>0</v>
      </c>
      <c r="AO153" s="608" t="e">
        <f t="shared" si="332"/>
        <v>#DIV/0!</v>
      </c>
      <c r="AP153" s="608">
        <v>0</v>
      </c>
      <c r="AQ153" s="176">
        <v>23406.717570000001</v>
      </c>
      <c r="AR153" s="608">
        <f t="shared" si="333"/>
        <v>1</v>
      </c>
      <c r="AS153" s="608">
        <f t="shared" si="346"/>
        <v>0.10176833726086956</v>
      </c>
      <c r="AT153" s="176">
        <f>AX153</f>
        <v>218758.6727</v>
      </c>
      <c r="AU153" s="584">
        <f t="shared" si="405"/>
        <v>0.95112466391304351</v>
      </c>
      <c r="AV153" s="176">
        <v>0</v>
      </c>
      <c r="AW153" s="261">
        <v>0</v>
      </c>
      <c r="AX153" s="176">
        <f>BJ153</f>
        <v>218758.6727</v>
      </c>
      <c r="AY153" s="375">
        <f>AX153/M153</f>
        <v>0.95112466391304351</v>
      </c>
      <c r="AZ153" s="382">
        <f t="shared" si="414"/>
        <v>11241.327300000004</v>
      </c>
      <c r="BA153" s="262">
        <v>0</v>
      </c>
      <c r="BB153" s="382">
        <f>L153-AV153</f>
        <v>0</v>
      </c>
      <c r="BC153" s="262">
        <v>0</v>
      </c>
      <c r="BD153" s="382">
        <f>S153-AX153</f>
        <v>11241.327300000004</v>
      </c>
      <c r="BE153" s="262">
        <f t="shared" si="423"/>
        <v>4.8875336086956545E-2</v>
      </c>
      <c r="BF153" s="176">
        <f>BJ153</f>
        <v>218758.6727</v>
      </c>
      <c r="BG153" s="586">
        <f t="shared" si="354"/>
        <v>1</v>
      </c>
      <c r="BH153" s="176"/>
      <c r="BI153" s="586">
        <v>0</v>
      </c>
      <c r="BJ153" s="486">
        <v>218758.6727</v>
      </c>
      <c r="BK153" s="549">
        <f t="shared" ref="BK153:BK164" si="429">BJ153/AX153</f>
        <v>1</v>
      </c>
      <c r="BL153" s="176">
        <f>BP153</f>
        <v>0</v>
      </c>
      <c r="BM153" s="586">
        <f t="shared" si="356"/>
        <v>0</v>
      </c>
      <c r="BN153" s="176"/>
      <c r="BO153" s="586">
        <v>0</v>
      </c>
      <c r="BP153" s="176">
        <f t="shared" si="357"/>
        <v>0</v>
      </c>
      <c r="BQ153" s="586">
        <f t="shared" si="349"/>
        <v>0</v>
      </c>
      <c r="BR153" s="176">
        <f>BV153</f>
        <v>11241.327300000004</v>
      </c>
      <c r="BS153" s="597">
        <f t="shared" si="358"/>
        <v>4.8875336086956545E-2</v>
      </c>
      <c r="BT153" s="161">
        <f t="shared" si="359"/>
        <v>0</v>
      </c>
      <c r="BU153" s="597">
        <v>0</v>
      </c>
      <c r="BV153" s="382">
        <f>M153-BJ153</f>
        <v>11241.327300000004</v>
      </c>
      <c r="BW153" s="597">
        <f t="shared" si="426"/>
        <v>4.8875336086956545E-2</v>
      </c>
      <c r="BX153" s="303"/>
      <c r="BY153" s="271">
        <f t="shared" si="381"/>
        <v>0</v>
      </c>
      <c r="BZ153" s="176">
        <f>CD153</f>
        <v>0</v>
      </c>
      <c r="CA153" s="631" t="e">
        <f t="shared" si="424"/>
        <v>#DIV/0!</v>
      </c>
      <c r="CB153" s="176"/>
      <c r="CC153" s="631"/>
      <c r="CD153" s="176"/>
      <c r="CE153" s="631" t="e">
        <f>SUM(CD153/#REF!)</f>
        <v>#REF!</v>
      </c>
      <c r="CF153" s="176">
        <f>CH153</f>
        <v>0</v>
      </c>
      <c r="CG153" s="396"/>
      <c r="CH153" s="176">
        <f>CJ153</f>
        <v>0</v>
      </c>
      <c r="CI153" s="396"/>
      <c r="CJ153" s="176">
        <f>CL153</f>
        <v>0</v>
      </c>
      <c r="CK153" s="397"/>
    </row>
    <row r="154" spans="2:89" s="572" customFormat="1" ht="20.25" hidden="1" customHeight="1">
      <c r="B154" s="304"/>
      <c r="C154" s="248" t="s">
        <v>259</v>
      </c>
      <c r="D154" s="494" t="s">
        <v>260</v>
      </c>
      <c r="E154" s="502">
        <f>G154</f>
        <v>0</v>
      </c>
      <c r="F154" s="502"/>
      <c r="G154" s="502"/>
      <c r="H154" s="502">
        <f>J154</f>
        <v>0</v>
      </c>
      <c r="I154" s="621"/>
      <c r="J154" s="621">
        <f>M154-G154</f>
        <v>0</v>
      </c>
      <c r="K154" s="161">
        <f>M154</f>
        <v>0</v>
      </c>
      <c r="L154" s="161"/>
      <c r="M154" s="176"/>
      <c r="N154" s="161">
        <f>P154</f>
        <v>0</v>
      </c>
      <c r="O154" s="166"/>
      <c r="P154" s="166">
        <f t="shared" ref="P154:P155" si="430">S154-M154</f>
        <v>0</v>
      </c>
      <c r="Q154" s="160">
        <f>S154</f>
        <v>0</v>
      </c>
      <c r="R154" s="160"/>
      <c r="S154" s="160"/>
      <c r="T154" s="161">
        <f t="shared" si="427"/>
        <v>0</v>
      </c>
      <c r="U154" s="583" t="e">
        <f t="shared" si="232"/>
        <v>#DIV/0!</v>
      </c>
      <c r="V154" s="161"/>
      <c r="W154" s="583" t="e">
        <f t="shared" si="233"/>
        <v>#DIV/0!</v>
      </c>
      <c r="X154" s="161">
        <f t="shared" si="428"/>
        <v>0</v>
      </c>
      <c r="Y154" s="583" t="e">
        <f t="shared" si="234"/>
        <v>#DIV/0!</v>
      </c>
      <c r="Z154" s="161">
        <f>AD154</f>
        <v>0</v>
      </c>
      <c r="AA154" s="583" t="e">
        <f t="shared" si="235"/>
        <v>#DIV/0!</v>
      </c>
      <c r="AB154" s="161"/>
      <c r="AC154" s="583" t="e">
        <f t="shared" si="236"/>
        <v>#DIV/0!</v>
      </c>
      <c r="AD154" s="161"/>
      <c r="AE154" s="161">
        <f>AG154</f>
        <v>0</v>
      </c>
      <c r="AF154" s="161"/>
      <c r="AG154" s="161"/>
      <c r="AH154" s="161">
        <f>AJ154</f>
        <v>0</v>
      </c>
      <c r="AI154" s="161"/>
      <c r="AJ154" s="161"/>
      <c r="AK154" s="161">
        <f>AN154+AQ154</f>
        <v>0</v>
      </c>
      <c r="AL154" s="164" t="e">
        <f t="shared" si="331"/>
        <v>#DIV/0!</v>
      </c>
      <c r="AM154" s="608" t="e">
        <f t="shared" si="361"/>
        <v>#DIV/0!</v>
      </c>
      <c r="AN154" s="161"/>
      <c r="AO154" s="164" t="e">
        <f t="shared" si="332"/>
        <v>#DIV/0!</v>
      </c>
      <c r="AP154" s="608" t="e">
        <f t="shared" si="362"/>
        <v>#DIV/0!</v>
      </c>
      <c r="AQ154" s="161"/>
      <c r="AR154" s="164" t="e">
        <f t="shared" si="333"/>
        <v>#DIV/0!</v>
      </c>
      <c r="AS154" s="164" t="e">
        <f t="shared" si="346"/>
        <v>#DIV/0!</v>
      </c>
      <c r="AT154" s="653">
        <f>AX154</f>
        <v>0</v>
      </c>
      <c r="AU154" s="550">
        <v>0</v>
      </c>
      <c r="AV154" s="161"/>
      <c r="AW154" s="633">
        <v>0</v>
      </c>
      <c r="AX154" s="654"/>
      <c r="AY154" s="377">
        <v>0</v>
      </c>
      <c r="AZ154" s="166">
        <f t="shared" si="414"/>
        <v>0</v>
      </c>
      <c r="BA154" s="443" t="e">
        <f>AZ154/Q154</f>
        <v>#DIV/0!</v>
      </c>
      <c r="BB154" s="166">
        <f>L154-AV154</f>
        <v>0</v>
      </c>
      <c r="BC154" s="443" t="e">
        <f>BB154/R154</f>
        <v>#DIV/0!</v>
      </c>
      <c r="BD154" s="166">
        <f>S154-AX154</f>
        <v>0</v>
      </c>
      <c r="BE154" s="377" t="e">
        <f t="shared" si="423"/>
        <v>#DIV/0!</v>
      </c>
      <c r="BF154" s="161">
        <f>BJ154</f>
        <v>0</v>
      </c>
      <c r="BG154" s="586" t="e">
        <f t="shared" si="354"/>
        <v>#DIV/0!</v>
      </c>
      <c r="BH154" s="161"/>
      <c r="BI154" s="586">
        <v>0</v>
      </c>
      <c r="BJ154" s="54">
        <f>S154</f>
        <v>0</v>
      </c>
      <c r="BK154" s="549" t="e">
        <f t="shared" si="429"/>
        <v>#DIV/0!</v>
      </c>
      <c r="BL154" s="161">
        <f>BP154</f>
        <v>0</v>
      </c>
      <c r="BM154" s="586" t="e">
        <f t="shared" si="356"/>
        <v>#DIV/0!</v>
      </c>
      <c r="BN154" s="161"/>
      <c r="BO154" s="586" t="e">
        <f t="shared" si="348"/>
        <v>#DIV/0!</v>
      </c>
      <c r="BP154" s="161">
        <f t="shared" si="357"/>
        <v>0</v>
      </c>
      <c r="BQ154" s="586" t="e">
        <f t="shared" si="349"/>
        <v>#DIV/0!</v>
      </c>
      <c r="BR154" s="161">
        <f>BV154</f>
        <v>0</v>
      </c>
      <c r="BS154" s="597" t="e">
        <f t="shared" si="358"/>
        <v>#DIV/0!</v>
      </c>
      <c r="BT154" s="161">
        <f t="shared" si="359"/>
        <v>0</v>
      </c>
      <c r="BU154" s="597" t="e">
        <f t="shared" si="351"/>
        <v>#DIV/0!</v>
      </c>
      <c r="BV154" s="382">
        <f t="shared" ref="BV154:BV155" si="431">M154-BJ154</f>
        <v>0</v>
      </c>
      <c r="BW154" s="597" t="e">
        <f t="shared" si="426"/>
        <v>#DIV/0!</v>
      </c>
      <c r="BX154" s="303"/>
      <c r="BY154" s="265" t="e">
        <f t="shared" si="381"/>
        <v>#DIV/0!</v>
      </c>
      <c r="BZ154" s="161">
        <f>CD154</f>
        <v>0</v>
      </c>
      <c r="CA154" s="630" t="e">
        <f t="shared" si="424"/>
        <v>#DIV/0!</v>
      </c>
      <c r="CB154" s="161"/>
      <c r="CC154" s="630"/>
      <c r="CD154" s="161"/>
      <c r="CE154" s="630" t="e">
        <f>SUM(CD154/#REF!)</f>
        <v>#REF!</v>
      </c>
      <c r="CF154" s="161">
        <f>CH154</f>
        <v>0</v>
      </c>
      <c r="CG154" s="578"/>
      <c r="CH154" s="161">
        <f>CJ154</f>
        <v>0</v>
      </c>
      <c r="CI154" s="578"/>
      <c r="CJ154" s="161">
        <f>CL154</f>
        <v>0</v>
      </c>
      <c r="CK154" s="579"/>
    </row>
    <row r="155" spans="2:89" s="572" customFormat="1" ht="66.75" customHeight="1" thickBot="1">
      <c r="B155" s="581" t="s">
        <v>36</v>
      </c>
      <c r="C155" s="248" t="s">
        <v>261</v>
      </c>
      <c r="D155" s="502" t="s">
        <v>262</v>
      </c>
      <c r="E155" s="502">
        <f t="shared" ref="E155:E162" si="432">F155+G155</f>
        <v>448473.5</v>
      </c>
      <c r="F155" s="502"/>
      <c r="G155" s="502">
        <v>448473.5</v>
      </c>
      <c r="H155" s="502">
        <f t="shared" ref="H155:H162" si="433">I155+J155</f>
        <v>-147429.05721</v>
      </c>
      <c r="I155" s="621"/>
      <c r="J155" s="621">
        <f>M155-G155</f>
        <v>-147429.05721</v>
      </c>
      <c r="K155" s="161">
        <f t="shared" ref="K155:K162" si="434">L155+M155</f>
        <v>301044.44279</v>
      </c>
      <c r="L155" s="161">
        <v>0</v>
      </c>
      <c r="M155" s="161">
        <v>301044.44279</v>
      </c>
      <c r="N155" s="161">
        <f t="shared" ref="N155:N162" si="435">O155+P155</f>
        <v>0</v>
      </c>
      <c r="O155" s="166">
        <v>0</v>
      </c>
      <c r="P155" s="166">
        <f t="shared" si="430"/>
        <v>0</v>
      </c>
      <c r="Q155" s="160">
        <f t="shared" ref="Q155:Q161" si="436">R155+S155</f>
        <v>301044.44279</v>
      </c>
      <c r="R155" s="160"/>
      <c r="S155" s="160">
        <v>301044.44279</v>
      </c>
      <c r="T155" s="161">
        <f t="shared" si="427"/>
        <v>301044.44279</v>
      </c>
      <c r="U155" s="583">
        <f t="shared" si="232"/>
        <v>1</v>
      </c>
      <c r="V155" s="161">
        <v>0</v>
      </c>
      <c r="W155" s="583">
        <v>0</v>
      </c>
      <c r="X155" s="161">
        <f t="shared" si="428"/>
        <v>301044.44279</v>
      </c>
      <c r="Y155" s="583">
        <f t="shared" si="234"/>
        <v>1</v>
      </c>
      <c r="Z155" s="161">
        <f t="shared" ref="Z155:Z162" si="437">AB155+AD155</f>
        <v>0</v>
      </c>
      <c r="AA155" s="583">
        <f t="shared" si="235"/>
        <v>0</v>
      </c>
      <c r="AB155" s="161"/>
      <c r="AC155" s="583">
        <v>0</v>
      </c>
      <c r="AD155" s="161"/>
      <c r="AE155" s="161">
        <f t="shared" ref="AE155:AE162" si="438">AF155+AG155</f>
        <v>0</v>
      </c>
      <c r="AF155" s="161"/>
      <c r="AG155" s="161"/>
      <c r="AH155" s="161">
        <f t="shared" ref="AH155:AH162" si="439">AI155+AJ155</f>
        <v>0</v>
      </c>
      <c r="AI155" s="161">
        <v>0</v>
      </c>
      <c r="AJ155" s="161">
        <v>0</v>
      </c>
      <c r="AK155" s="655">
        <f>AN155+AQ155</f>
        <v>289791.78875000001</v>
      </c>
      <c r="AL155" s="656">
        <v>0</v>
      </c>
      <c r="AM155" s="583">
        <f t="shared" si="361"/>
        <v>0.96262128629343435</v>
      </c>
      <c r="AN155" s="655">
        <v>0</v>
      </c>
      <c r="AO155" s="656" t="e">
        <f t="shared" si="332"/>
        <v>#DIV/0!</v>
      </c>
      <c r="AP155" s="583">
        <v>0</v>
      </c>
      <c r="AQ155" s="54">
        <f>AX155</f>
        <v>289791.78875000001</v>
      </c>
      <c r="AR155" s="164" t="e">
        <f t="shared" si="333"/>
        <v>#DIV/0!</v>
      </c>
      <c r="AS155" s="164">
        <f t="shared" si="346"/>
        <v>0.96262128629343435</v>
      </c>
      <c r="AT155" s="54">
        <f>AX155</f>
        <v>289791.78875000001</v>
      </c>
      <c r="AU155" s="550">
        <f t="shared" ref="AU155:AU164" si="440">AT155/K155</f>
        <v>0.96262128629343435</v>
      </c>
      <c r="AV155" s="161">
        <v>0</v>
      </c>
      <c r="AW155" s="633">
        <v>0</v>
      </c>
      <c r="AX155" s="54">
        <f>289791.78875</f>
        <v>289791.78875000001</v>
      </c>
      <c r="AY155" s="377">
        <f>AX155/M155</f>
        <v>0.96262128629343435</v>
      </c>
      <c r="AZ155" s="166">
        <f t="shared" si="414"/>
        <v>11252.654039999994</v>
      </c>
      <c r="BA155" s="443">
        <v>0</v>
      </c>
      <c r="BB155" s="166">
        <f>L155-AV155</f>
        <v>0</v>
      </c>
      <c r="BC155" s="443">
        <v>0</v>
      </c>
      <c r="BD155" s="166">
        <f>S155-AX155</f>
        <v>11252.654039999994</v>
      </c>
      <c r="BE155" s="377">
        <f t="shared" si="423"/>
        <v>3.7378713706565654E-2</v>
      </c>
      <c r="BF155" s="161">
        <f t="shared" ref="BF155:BF162" si="441">BH155+BJ155</f>
        <v>289791.78875000001</v>
      </c>
      <c r="BG155" s="586">
        <f t="shared" si="354"/>
        <v>1</v>
      </c>
      <c r="BH155" s="161">
        <v>0</v>
      </c>
      <c r="BI155" s="549">
        <v>0</v>
      </c>
      <c r="BJ155" s="54">
        <f>AX155</f>
        <v>289791.78875000001</v>
      </c>
      <c r="BK155" s="657">
        <f t="shared" si="429"/>
        <v>1</v>
      </c>
      <c r="BL155" s="161">
        <f t="shared" ref="BL155:BL162" si="442">BN155+BP155</f>
        <v>0</v>
      </c>
      <c r="BM155" s="549">
        <f t="shared" si="356"/>
        <v>0</v>
      </c>
      <c r="BN155" s="161">
        <v>0</v>
      </c>
      <c r="BO155" s="549">
        <v>0</v>
      </c>
      <c r="BP155" s="161">
        <f t="shared" si="357"/>
        <v>0</v>
      </c>
      <c r="BQ155" s="549">
        <f t="shared" si="349"/>
        <v>0</v>
      </c>
      <c r="BR155" s="161">
        <f t="shared" ref="BR155:BR162" si="443">BT155+BV155</f>
        <v>11252.654039999994</v>
      </c>
      <c r="BS155" s="550">
        <f t="shared" si="358"/>
        <v>3.7378713706565654E-2</v>
      </c>
      <c r="BT155" s="658">
        <f t="shared" si="359"/>
        <v>0</v>
      </c>
      <c r="BU155" s="550">
        <v>0</v>
      </c>
      <c r="BV155" s="650">
        <f t="shared" si="431"/>
        <v>11252.654039999994</v>
      </c>
      <c r="BW155" s="550">
        <f t="shared" si="426"/>
        <v>3.7378713706565654E-2</v>
      </c>
      <c r="BX155" s="659" t="s">
        <v>263</v>
      </c>
      <c r="BY155" s="265">
        <f t="shared" si="381"/>
        <v>0</v>
      </c>
      <c r="BZ155" s="161">
        <f t="shared" ref="BZ155:BZ162" si="444">CB155+CD155</f>
        <v>0</v>
      </c>
      <c r="CA155" s="630" t="e">
        <f t="shared" si="424"/>
        <v>#DIV/0!</v>
      </c>
      <c r="CB155" s="161"/>
      <c r="CC155" s="630"/>
      <c r="CD155" s="161"/>
      <c r="CE155" s="630" t="e">
        <f>SUM(CD155/#REF!)</f>
        <v>#REF!</v>
      </c>
      <c r="CF155" s="161" t="s">
        <v>264</v>
      </c>
      <c r="CG155" s="161" t="s">
        <v>81</v>
      </c>
      <c r="CH155" s="161">
        <f t="shared" ref="CH155:CH162" si="445">CI155+CJ155</f>
        <v>0</v>
      </c>
      <c r="CI155" s="578"/>
      <c r="CJ155" s="161">
        <f t="shared" ref="CJ155:CJ162" si="446">CK155+CL155</f>
        <v>0</v>
      </c>
      <c r="CK155" s="579"/>
    </row>
    <row r="156" spans="2:89" ht="62.25" hidden="1" customHeight="1" thickBot="1">
      <c r="B156" s="634" t="s">
        <v>265</v>
      </c>
      <c r="C156" s="635" t="s">
        <v>266</v>
      </c>
      <c r="D156" s="317"/>
      <c r="E156" s="320">
        <f t="shared" si="432"/>
        <v>0</v>
      </c>
      <c r="F156" s="320"/>
      <c r="G156" s="320"/>
      <c r="H156" s="320">
        <f t="shared" si="433"/>
        <v>0</v>
      </c>
      <c r="I156" s="660"/>
      <c r="J156" s="660">
        <f>M156-G156</f>
        <v>0</v>
      </c>
      <c r="K156" s="191">
        <f t="shared" si="434"/>
        <v>0</v>
      </c>
      <c r="L156" s="191"/>
      <c r="M156" s="191"/>
      <c r="N156" s="191">
        <f t="shared" si="435"/>
        <v>0</v>
      </c>
      <c r="O156" s="203"/>
      <c r="P156" s="203">
        <f>S156-M156</f>
        <v>0</v>
      </c>
      <c r="Q156" s="264">
        <f t="shared" si="436"/>
        <v>0</v>
      </c>
      <c r="R156" s="264"/>
      <c r="S156" s="264"/>
      <c r="T156" s="191">
        <f t="shared" si="427"/>
        <v>0</v>
      </c>
      <c r="U156" s="636" t="e">
        <f t="shared" si="232"/>
        <v>#DIV/0!</v>
      </c>
      <c r="V156" s="191"/>
      <c r="W156" s="636" t="e">
        <f t="shared" si="233"/>
        <v>#DIV/0!</v>
      </c>
      <c r="X156" s="191"/>
      <c r="Y156" s="636" t="e">
        <f t="shared" si="234"/>
        <v>#DIV/0!</v>
      </c>
      <c r="Z156" s="191">
        <f t="shared" si="437"/>
        <v>0</v>
      </c>
      <c r="AA156" s="636" t="e">
        <f t="shared" si="235"/>
        <v>#DIV/0!</v>
      </c>
      <c r="AB156" s="191"/>
      <c r="AC156" s="636" t="e">
        <f t="shared" si="236"/>
        <v>#DIV/0!</v>
      </c>
      <c r="AD156" s="191"/>
      <c r="AE156" s="191">
        <f t="shared" si="438"/>
        <v>0</v>
      </c>
      <c r="AF156" s="191"/>
      <c r="AG156" s="191"/>
      <c r="AH156" s="191">
        <f t="shared" si="439"/>
        <v>0</v>
      </c>
      <c r="AI156" s="191"/>
      <c r="AJ156" s="191"/>
      <c r="AK156" s="527">
        <f>AN156+AQ156</f>
        <v>0</v>
      </c>
      <c r="AL156" s="534" t="e">
        <f t="shared" si="331"/>
        <v>#DIV/0!</v>
      </c>
      <c r="AM156" s="661" t="e">
        <f t="shared" si="361"/>
        <v>#DIV/0!</v>
      </c>
      <c r="AN156" s="527"/>
      <c r="AO156" s="532" t="e">
        <f t="shared" si="332"/>
        <v>#DIV/0!</v>
      </c>
      <c r="AP156" s="661" t="e">
        <f t="shared" si="362"/>
        <v>#DIV/0!</v>
      </c>
      <c r="AQ156" s="191"/>
      <c r="AR156" s="197" t="e">
        <f t="shared" si="333"/>
        <v>#DIV/0!</v>
      </c>
      <c r="AS156" s="197" t="e">
        <f t="shared" si="346"/>
        <v>#DIV/0!</v>
      </c>
      <c r="AT156" s="191">
        <f>AV156+AX156</f>
        <v>0</v>
      </c>
      <c r="AU156" s="550" t="e">
        <f t="shared" si="440"/>
        <v>#DIV/0!</v>
      </c>
      <c r="AV156" s="191"/>
      <c r="AW156" s="662" t="e">
        <f t="shared" ref="AW156:AW164" si="447">AV156/L156</f>
        <v>#DIV/0!</v>
      </c>
      <c r="AX156" s="191"/>
      <c r="AY156" s="662" t="e">
        <f>AX156/M156</f>
        <v>#DIV/0!</v>
      </c>
      <c r="AZ156" s="663">
        <f t="shared" si="414"/>
        <v>0</v>
      </c>
      <c r="BA156" s="664" t="e">
        <f>AZ156/Q156</f>
        <v>#DIV/0!</v>
      </c>
      <c r="BB156" s="663"/>
      <c r="BC156" s="202" t="e">
        <f>BB156/R156</f>
        <v>#DIV/0!</v>
      </c>
      <c r="BD156" s="663">
        <f>G156-AX156</f>
        <v>0</v>
      </c>
      <c r="BE156" s="143" t="e">
        <f t="shared" si="423"/>
        <v>#DIV/0!</v>
      </c>
      <c r="BF156" s="191">
        <f t="shared" si="441"/>
        <v>0</v>
      </c>
      <c r="BG156" s="586" t="e">
        <f t="shared" si="354"/>
        <v>#DIV/0!</v>
      </c>
      <c r="BH156" s="191"/>
      <c r="BI156" s="575" t="e">
        <f t="shared" si="355"/>
        <v>#DIV/0!</v>
      </c>
      <c r="BJ156" s="191"/>
      <c r="BK156" s="549" t="e">
        <f t="shared" si="429"/>
        <v>#DIV/0!</v>
      </c>
      <c r="BL156" s="191">
        <f t="shared" si="442"/>
        <v>0</v>
      </c>
      <c r="BM156" s="575" t="e">
        <f t="shared" si="356"/>
        <v>#DIV/0!</v>
      </c>
      <c r="BN156" s="191"/>
      <c r="BO156" s="575" t="e">
        <f t="shared" si="348"/>
        <v>#DIV/0!</v>
      </c>
      <c r="BP156" s="191">
        <f t="shared" si="357"/>
        <v>0</v>
      </c>
      <c r="BQ156" s="575" t="e">
        <f t="shared" si="349"/>
        <v>#DIV/0!</v>
      </c>
      <c r="BR156" s="191" t="e">
        <f t="shared" si="443"/>
        <v>#REF!</v>
      </c>
      <c r="BS156" s="576" t="e">
        <f t="shared" si="358"/>
        <v>#REF!</v>
      </c>
      <c r="BT156" s="54">
        <f t="shared" si="359"/>
        <v>0</v>
      </c>
      <c r="BU156" s="576" t="e">
        <f t="shared" si="351"/>
        <v>#DIV/0!</v>
      </c>
      <c r="BV156" s="663" t="e">
        <f>G156-BJ156-BP156-#REF!-#REF!</f>
        <v>#REF!</v>
      </c>
      <c r="BW156" s="576" t="e">
        <f t="shared" si="426"/>
        <v>#REF!</v>
      </c>
      <c r="BX156" s="665"/>
      <c r="BY156" s="265" t="e">
        <f t="shared" si="381"/>
        <v>#DIV/0!</v>
      </c>
      <c r="BZ156" s="176">
        <f t="shared" si="444"/>
        <v>0</v>
      </c>
      <c r="CA156" s="631" t="e">
        <f t="shared" si="424"/>
        <v>#DIV/0!</v>
      </c>
      <c r="CB156" s="176"/>
      <c r="CC156" s="631"/>
      <c r="CD156" s="176"/>
      <c r="CE156" s="631" t="e">
        <f>SUM(CD156/#REF!)</f>
        <v>#REF!</v>
      </c>
      <c r="CF156" s="176">
        <f t="shared" ref="CF156" si="448">CG156+CH156</f>
        <v>0</v>
      </c>
      <c r="CG156" s="393"/>
      <c r="CH156" s="176">
        <f t="shared" si="445"/>
        <v>0</v>
      </c>
      <c r="CI156" s="393"/>
      <c r="CJ156" s="176">
        <f t="shared" si="446"/>
        <v>0</v>
      </c>
      <c r="CK156" s="394"/>
    </row>
    <row r="157" spans="2:89" s="571" customFormat="1" ht="77.25" customHeight="1" thickBot="1">
      <c r="B157" s="643" t="s">
        <v>267</v>
      </c>
      <c r="C157" s="466" t="s">
        <v>268</v>
      </c>
      <c r="D157" s="537" t="s">
        <v>269</v>
      </c>
      <c r="E157" s="537">
        <f t="shared" si="432"/>
        <v>217983.908</v>
      </c>
      <c r="F157" s="537">
        <f>SUM(F158:F161)</f>
        <v>217983.908</v>
      </c>
      <c r="G157" s="537">
        <f>SUM(G158:G161)</f>
        <v>0</v>
      </c>
      <c r="H157" s="537">
        <f t="shared" si="433"/>
        <v>-12331.67181</v>
      </c>
      <c r="I157" s="537">
        <f>SUM(I158:I161)</f>
        <v>-12331.67181</v>
      </c>
      <c r="J157" s="537">
        <f>SUM(J158:J161)</f>
        <v>0</v>
      </c>
      <c r="K157" s="75">
        <f t="shared" si="434"/>
        <v>305652.23619000003</v>
      </c>
      <c r="L157" s="75">
        <f>L158+L159+L160+L161</f>
        <v>305652.23619000003</v>
      </c>
      <c r="M157" s="75">
        <f>M158+M159+M160+M161</f>
        <v>0</v>
      </c>
      <c r="N157" s="75">
        <f>O157+P157</f>
        <v>0</v>
      </c>
      <c r="O157" s="75">
        <f>SUM(O158:O161)</f>
        <v>0</v>
      </c>
      <c r="P157" s="75">
        <f>SUM(P158:P161)</f>
        <v>0</v>
      </c>
      <c r="Q157" s="74">
        <f t="shared" si="436"/>
        <v>305652.23619000003</v>
      </c>
      <c r="R157" s="74">
        <f>SUM(R158:R161)</f>
        <v>305652.23619000003</v>
      </c>
      <c r="S157" s="74">
        <f t="shared" ref="S157:T157" si="449">SUM(S158:S161)</f>
        <v>0</v>
      </c>
      <c r="T157" s="75">
        <f t="shared" si="449"/>
        <v>315753.87926000002</v>
      </c>
      <c r="U157" s="76">
        <f t="shared" si="232"/>
        <v>1.0330494656146425</v>
      </c>
      <c r="V157" s="75">
        <f>V158+V159+V161</f>
        <v>315753.87926000002</v>
      </c>
      <c r="W157" s="76">
        <f t="shared" si="233"/>
        <v>1.0330494656146425</v>
      </c>
      <c r="X157" s="75"/>
      <c r="Y157" s="76">
        <v>0</v>
      </c>
      <c r="Z157" s="75">
        <f>AB157+AD157</f>
        <v>-110101.64307000001</v>
      </c>
      <c r="AA157" s="76">
        <f t="shared" si="235"/>
        <v>-0.36021867349126296</v>
      </c>
      <c r="AB157" s="75">
        <f>AB158+AB159+AB161</f>
        <v>-110101.64307000001</v>
      </c>
      <c r="AC157" s="76">
        <f t="shared" si="236"/>
        <v>-0.36021867349126296</v>
      </c>
      <c r="AD157" s="75"/>
      <c r="AE157" s="75">
        <f t="shared" si="438"/>
        <v>0</v>
      </c>
      <c r="AF157" s="75"/>
      <c r="AG157" s="75"/>
      <c r="AH157" s="75">
        <f t="shared" si="439"/>
        <v>118620.74278</v>
      </c>
      <c r="AI157" s="75">
        <f>SUM(AI158:AI161)</f>
        <v>118620.74278</v>
      </c>
      <c r="AJ157" s="75"/>
      <c r="AK157" s="75">
        <f>SUM(AK158:AK161)</f>
        <v>73138.971839999998</v>
      </c>
      <c r="AL157" s="76">
        <f t="shared" si="331"/>
        <v>0.61657826553697459</v>
      </c>
      <c r="AM157" s="666">
        <f t="shared" si="361"/>
        <v>0.23928819481803246</v>
      </c>
      <c r="AN157" s="75">
        <f>SUM(AN158:AN161)</f>
        <v>73138.971839999998</v>
      </c>
      <c r="AO157" s="76">
        <f t="shared" si="332"/>
        <v>0.61657826553697459</v>
      </c>
      <c r="AP157" s="666">
        <f t="shared" si="362"/>
        <v>0.23928819481803246</v>
      </c>
      <c r="AQ157" s="75">
        <v>0</v>
      </c>
      <c r="AR157" s="76" t="e">
        <f t="shared" si="333"/>
        <v>#DIV/0!</v>
      </c>
      <c r="AS157" s="76">
        <v>0</v>
      </c>
      <c r="AT157" s="75">
        <f>AV157+AX157</f>
        <v>293959.80815</v>
      </c>
      <c r="AU157" s="538">
        <f t="shared" si="440"/>
        <v>0.96174597579998811</v>
      </c>
      <c r="AV157" s="75">
        <f>SUM(AV158:AV161)</f>
        <v>293959.80815</v>
      </c>
      <c r="AW157" s="143">
        <f t="shared" si="447"/>
        <v>0.96174597579998811</v>
      </c>
      <c r="AX157" s="75">
        <f>SUM(AX158:AX161)</f>
        <v>0</v>
      </c>
      <c r="AY157" s="143">
        <v>0</v>
      </c>
      <c r="AZ157" s="75">
        <f>SUM(AZ158,AZ159,AZ161)</f>
        <v>11692.397369999999</v>
      </c>
      <c r="BA157" s="143">
        <f>AZ157/K157</f>
        <v>3.8253923857215794E-2</v>
      </c>
      <c r="BB157" s="75">
        <f>SUM(BB158:BB161)</f>
        <v>11692.428039999992</v>
      </c>
      <c r="BC157" s="143">
        <f t="shared" ref="BC157:BC164" si="450">BB157/L157</f>
        <v>3.8254024200011824E-2</v>
      </c>
      <c r="BD157" s="75">
        <f>SUM(BD158:BD161)</f>
        <v>0</v>
      </c>
      <c r="BE157" s="143">
        <v>0</v>
      </c>
      <c r="BF157" s="78">
        <f t="shared" si="441"/>
        <v>293959.80815</v>
      </c>
      <c r="BG157" s="143">
        <f t="shared" si="354"/>
        <v>1</v>
      </c>
      <c r="BH157" s="75">
        <f>SUM(BH158:BH161)</f>
        <v>293959.80815</v>
      </c>
      <c r="BI157" s="143">
        <f t="shared" si="355"/>
        <v>1</v>
      </c>
      <c r="BJ157" s="75">
        <v>0</v>
      </c>
      <c r="BK157" s="143">
        <v>0</v>
      </c>
      <c r="BL157" s="75">
        <f t="shared" si="442"/>
        <v>0</v>
      </c>
      <c r="BM157" s="143">
        <f t="shared" si="356"/>
        <v>0</v>
      </c>
      <c r="BN157" s="75">
        <f>SUM(BN158:BN161)</f>
        <v>0</v>
      </c>
      <c r="BO157" s="143">
        <f t="shared" si="348"/>
        <v>0</v>
      </c>
      <c r="BP157" s="75">
        <f t="shared" si="357"/>
        <v>0</v>
      </c>
      <c r="BQ157" s="143">
        <v>0</v>
      </c>
      <c r="BR157" s="75">
        <f t="shared" si="443"/>
        <v>11692.428040000028</v>
      </c>
      <c r="BS157" s="576">
        <f t="shared" si="358"/>
        <v>3.8254024200011949E-2</v>
      </c>
      <c r="BT157" s="655">
        <f t="shared" si="359"/>
        <v>11692.428040000028</v>
      </c>
      <c r="BU157" s="576">
        <f t="shared" si="351"/>
        <v>3.8254024200011949E-2</v>
      </c>
      <c r="BV157" s="75">
        <f>SUM(BV158:BV161)</f>
        <v>0</v>
      </c>
      <c r="BW157" s="576">
        <v>0</v>
      </c>
      <c r="BX157" s="540"/>
      <c r="BY157" s="475">
        <v>0</v>
      </c>
      <c r="BZ157" s="476">
        <f t="shared" si="444"/>
        <v>0</v>
      </c>
      <c r="CA157" s="646"/>
      <c r="CB157" s="476"/>
      <c r="CC157" s="646"/>
      <c r="CD157" s="476"/>
      <c r="CE157" s="646"/>
      <c r="CF157" s="476" t="s">
        <v>81</v>
      </c>
      <c r="CG157" s="476" t="s">
        <v>81</v>
      </c>
      <c r="CH157" s="476">
        <f t="shared" si="445"/>
        <v>0</v>
      </c>
      <c r="CI157" s="647"/>
      <c r="CJ157" s="476">
        <f t="shared" si="446"/>
        <v>0</v>
      </c>
      <c r="CK157" s="648"/>
    </row>
    <row r="158" spans="2:89" s="624" customFormat="1" ht="39.75" customHeight="1" thickBot="1">
      <c r="B158" s="667" t="s">
        <v>40</v>
      </c>
      <c r="C158" s="649" t="s">
        <v>270</v>
      </c>
      <c r="D158" s="481" t="s">
        <v>271</v>
      </c>
      <c r="E158" s="481">
        <f t="shared" si="432"/>
        <v>109489.15300000001</v>
      </c>
      <c r="F158" s="481">
        <v>109489.15300000001</v>
      </c>
      <c r="G158" s="481"/>
      <c r="H158" s="481">
        <f t="shared" si="433"/>
        <v>30344.716</v>
      </c>
      <c r="I158" s="668">
        <f t="shared" ref="I158:J161" si="451">L158-F158</f>
        <v>30344.716</v>
      </c>
      <c r="J158" s="668">
        <f t="shared" si="451"/>
        <v>0</v>
      </c>
      <c r="K158" s="54">
        <f t="shared" si="434"/>
        <v>139833.86900000001</v>
      </c>
      <c r="L158" s="54">
        <v>139833.86900000001</v>
      </c>
      <c r="M158" s="54">
        <v>0</v>
      </c>
      <c r="N158" s="54">
        <f t="shared" si="435"/>
        <v>0</v>
      </c>
      <c r="O158" s="650">
        <f>R158-L158</f>
        <v>0</v>
      </c>
      <c r="P158" s="650">
        <f t="shared" ref="P158:P161" si="452">S158-M158</f>
        <v>0</v>
      </c>
      <c r="Q158" s="53">
        <f t="shared" si="436"/>
        <v>139833.86900000001</v>
      </c>
      <c r="R158" s="53">
        <f>L158</f>
        <v>139833.86900000001</v>
      </c>
      <c r="S158" s="53">
        <v>0</v>
      </c>
      <c r="T158" s="54">
        <f>V158</f>
        <v>133826.39097000001</v>
      </c>
      <c r="U158" s="145">
        <f t="shared" si="232"/>
        <v>0.95703846233418599</v>
      </c>
      <c r="V158" s="54">
        <f>AV158</f>
        <v>133826.39097000001</v>
      </c>
      <c r="W158" s="145">
        <f t="shared" si="233"/>
        <v>0.95703846233418599</v>
      </c>
      <c r="X158" s="54"/>
      <c r="Y158" s="145">
        <v>0</v>
      </c>
      <c r="Z158" s="54">
        <f t="shared" si="437"/>
        <v>6007.4780299999984</v>
      </c>
      <c r="AA158" s="145">
        <f t="shared" si="235"/>
        <v>4.2961537665813981E-2</v>
      </c>
      <c r="AB158" s="54">
        <f>R158-V158</f>
        <v>6007.4780299999984</v>
      </c>
      <c r="AC158" s="145">
        <f t="shared" si="236"/>
        <v>4.2961537665813981E-2</v>
      </c>
      <c r="AD158" s="54"/>
      <c r="AE158" s="54">
        <f t="shared" si="438"/>
        <v>0</v>
      </c>
      <c r="AF158" s="54"/>
      <c r="AG158" s="54"/>
      <c r="AH158" s="54">
        <f t="shared" si="439"/>
        <v>75759.739920000007</v>
      </c>
      <c r="AI158" s="54">
        <v>75759.739920000007</v>
      </c>
      <c r="AJ158" s="54"/>
      <c r="AK158" s="54">
        <f>AN158</f>
        <v>50522.160369999998</v>
      </c>
      <c r="AL158" s="145">
        <f t="shared" si="331"/>
        <v>0.66687346634703171</v>
      </c>
      <c r="AM158" s="145">
        <f t="shared" si="361"/>
        <v>0.36130131227363804</v>
      </c>
      <c r="AN158" s="54">
        <v>50522.160369999998</v>
      </c>
      <c r="AO158" s="145">
        <f t="shared" si="332"/>
        <v>0.66687346634703171</v>
      </c>
      <c r="AP158" s="145">
        <f t="shared" si="362"/>
        <v>0.36130131227363804</v>
      </c>
      <c r="AQ158" s="54">
        <v>0</v>
      </c>
      <c r="AR158" s="145" t="e">
        <f t="shared" si="333"/>
        <v>#DIV/0!</v>
      </c>
      <c r="AS158" s="145">
        <v>0</v>
      </c>
      <c r="AT158" s="54">
        <f>AV158</f>
        <v>133826.39097000001</v>
      </c>
      <c r="AU158" s="550">
        <f t="shared" si="440"/>
        <v>0.95703846233418599</v>
      </c>
      <c r="AV158" s="54">
        <f>BH158</f>
        <v>133826.39097000001</v>
      </c>
      <c r="AW158" s="377">
        <f t="shared" si="447"/>
        <v>0.95703846233418599</v>
      </c>
      <c r="AX158" s="54">
        <v>0</v>
      </c>
      <c r="AY158" s="377">
        <v>0</v>
      </c>
      <c r="AZ158" s="650">
        <f>BB158+BD158</f>
        <v>6007.4780299999984</v>
      </c>
      <c r="BA158" s="377">
        <f>AZ158/K158</f>
        <v>4.2961537665813981E-2</v>
      </c>
      <c r="BB158" s="161">
        <f>L158-AV158</f>
        <v>6007.4780299999984</v>
      </c>
      <c r="BC158" s="377">
        <f t="shared" si="450"/>
        <v>4.2961537665813981E-2</v>
      </c>
      <c r="BD158" s="650">
        <f>G158-AX158</f>
        <v>0</v>
      </c>
      <c r="BE158" s="377">
        <v>0</v>
      </c>
      <c r="BF158" s="54">
        <f t="shared" si="441"/>
        <v>133826.39097000001</v>
      </c>
      <c r="BG158" s="549">
        <f t="shared" si="354"/>
        <v>1</v>
      </c>
      <c r="BH158" s="54">
        <v>133826.39097000001</v>
      </c>
      <c r="BI158" s="575">
        <f t="shared" si="355"/>
        <v>1</v>
      </c>
      <c r="BJ158" s="54">
        <v>0</v>
      </c>
      <c r="BK158" s="549">
        <v>0</v>
      </c>
      <c r="BL158" s="651">
        <f t="shared" si="442"/>
        <v>0</v>
      </c>
      <c r="BM158" s="575">
        <f t="shared" si="356"/>
        <v>0</v>
      </c>
      <c r="BN158" s="651">
        <f>AV158-BH158</f>
        <v>0</v>
      </c>
      <c r="BO158" s="575">
        <f t="shared" si="348"/>
        <v>0</v>
      </c>
      <c r="BP158" s="54">
        <f t="shared" si="357"/>
        <v>0</v>
      </c>
      <c r="BQ158" s="575">
        <v>0</v>
      </c>
      <c r="BR158" s="54">
        <f t="shared" si="443"/>
        <v>6007.4780299999984</v>
      </c>
      <c r="BS158" s="576">
        <f t="shared" si="358"/>
        <v>4.2961537665813981E-2</v>
      </c>
      <c r="BT158" s="651">
        <f t="shared" si="359"/>
        <v>6007.4780299999984</v>
      </c>
      <c r="BU158" s="576">
        <f t="shared" si="351"/>
        <v>4.2961537665813981E-2</v>
      </c>
      <c r="BV158" s="669">
        <v>0</v>
      </c>
      <c r="BW158" s="650">
        <v>0</v>
      </c>
      <c r="BX158" s="670" t="s">
        <v>272</v>
      </c>
      <c r="BY158" s="265">
        <v>0</v>
      </c>
      <c r="BZ158" s="161">
        <f t="shared" si="444"/>
        <v>0</v>
      </c>
      <c r="CA158" s="162"/>
      <c r="CB158" s="161"/>
      <c r="CC158" s="162"/>
      <c r="CD158" s="161"/>
      <c r="CE158" s="162"/>
      <c r="CF158" s="161" t="s">
        <v>81</v>
      </c>
      <c r="CG158" s="161" t="s">
        <v>81</v>
      </c>
      <c r="CH158" s="161">
        <f t="shared" si="445"/>
        <v>0</v>
      </c>
      <c r="CI158" s="622"/>
      <c r="CJ158" s="161">
        <f t="shared" si="446"/>
        <v>0</v>
      </c>
      <c r="CK158" s="623"/>
    </row>
    <row r="159" spans="2:89" s="624" customFormat="1" ht="79.5" hidden="1" customHeight="1" thickBot="1">
      <c r="B159" s="667" t="s">
        <v>41</v>
      </c>
      <c r="C159" s="248" t="s">
        <v>273</v>
      </c>
      <c r="D159" s="502" t="s">
        <v>274</v>
      </c>
      <c r="E159" s="502">
        <f t="shared" si="432"/>
        <v>6000</v>
      </c>
      <c r="F159" s="502">
        <v>6000</v>
      </c>
      <c r="G159" s="502"/>
      <c r="H159" s="502">
        <f t="shared" si="433"/>
        <v>-6000</v>
      </c>
      <c r="I159" s="621">
        <f t="shared" si="451"/>
        <v>-6000</v>
      </c>
      <c r="J159" s="621">
        <f t="shared" si="451"/>
        <v>0</v>
      </c>
      <c r="K159" s="161">
        <f t="shared" si="434"/>
        <v>0</v>
      </c>
      <c r="L159" s="161">
        <v>0</v>
      </c>
      <c r="M159" s="161">
        <v>0</v>
      </c>
      <c r="N159" s="161">
        <f t="shared" si="435"/>
        <v>0</v>
      </c>
      <c r="O159" s="166">
        <f>R159-L159</f>
        <v>0</v>
      </c>
      <c r="P159" s="166">
        <f t="shared" si="452"/>
        <v>0</v>
      </c>
      <c r="Q159" s="160">
        <f t="shared" si="436"/>
        <v>0</v>
      </c>
      <c r="R159" s="160">
        <v>0</v>
      </c>
      <c r="S159" s="160">
        <v>0</v>
      </c>
      <c r="T159" s="161">
        <f t="shared" ref="T159:T161" si="453">V159</f>
        <v>97615.276230000003</v>
      </c>
      <c r="U159" s="583" t="e">
        <f t="shared" si="232"/>
        <v>#DIV/0!</v>
      </c>
      <c r="V159" s="161">
        <v>97615.276230000003</v>
      </c>
      <c r="W159" s="583" t="e">
        <f t="shared" si="233"/>
        <v>#DIV/0!</v>
      </c>
      <c r="X159" s="161"/>
      <c r="Y159" s="583">
        <v>0</v>
      </c>
      <c r="Z159" s="161">
        <f t="shared" si="437"/>
        <v>-97615.276230000003</v>
      </c>
      <c r="AA159" s="583" t="e">
        <f t="shared" si="235"/>
        <v>#DIV/0!</v>
      </c>
      <c r="AB159" s="161">
        <f t="shared" ref="AB159:AB161" si="454">R159-V159</f>
        <v>-97615.276230000003</v>
      </c>
      <c r="AC159" s="583" t="e">
        <f t="shared" si="236"/>
        <v>#DIV/0!</v>
      </c>
      <c r="AD159" s="161"/>
      <c r="AE159" s="161">
        <f t="shared" si="438"/>
        <v>0</v>
      </c>
      <c r="AF159" s="161"/>
      <c r="AG159" s="161"/>
      <c r="AH159" s="161">
        <f t="shared" si="439"/>
        <v>24780.73215</v>
      </c>
      <c r="AI159" s="161">
        <v>24780.73215</v>
      </c>
      <c r="AJ159" s="161"/>
      <c r="AK159" s="161">
        <f>AN159+AQ159</f>
        <v>0</v>
      </c>
      <c r="AL159" s="583">
        <f t="shared" si="331"/>
        <v>0</v>
      </c>
      <c r="AM159" s="583" t="e">
        <f t="shared" si="361"/>
        <v>#DIV/0!</v>
      </c>
      <c r="AN159" s="161">
        <v>0</v>
      </c>
      <c r="AO159" s="583">
        <f t="shared" si="332"/>
        <v>0</v>
      </c>
      <c r="AP159" s="583" t="e">
        <f t="shared" si="362"/>
        <v>#DIV/0!</v>
      </c>
      <c r="AQ159" s="161">
        <v>0</v>
      </c>
      <c r="AR159" s="583" t="e">
        <f t="shared" si="333"/>
        <v>#DIV/0!</v>
      </c>
      <c r="AS159" s="583">
        <v>0</v>
      </c>
      <c r="AT159" s="54">
        <f t="shared" ref="AT159:AT160" si="455">AV159</f>
        <v>0</v>
      </c>
      <c r="AU159" s="550" t="e">
        <f t="shared" si="440"/>
        <v>#DIV/0!</v>
      </c>
      <c r="AV159" s="54">
        <f>L159</f>
        <v>0</v>
      </c>
      <c r="AW159" s="377" t="e">
        <f t="shared" si="447"/>
        <v>#DIV/0!</v>
      </c>
      <c r="AX159" s="161">
        <v>0</v>
      </c>
      <c r="AY159" s="443">
        <v>0</v>
      </c>
      <c r="AZ159" s="650">
        <f t="shared" ref="AZ159:AZ160" si="456">BB159+BD159</f>
        <v>0</v>
      </c>
      <c r="BA159" s="377" t="e">
        <f>AZ159/Q159</f>
        <v>#DIV/0!</v>
      </c>
      <c r="BB159" s="161">
        <f>L159-AV159</f>
        <v>0</v>
      </c>
      <c r="BC159" s="377" t="e">
        <f t="shared" si="450"/>
        <v>#DIV/0!</v>
      </c>
      <c r="BD159" s="166">
        <f>G159-AX159</f>
        <v>0</v>
      </c>
      <c r="BE159" s="377">
        <v>0</v>
      </c>
      <c r="BF159" s="161">
        <f t="shared" si="441"/>
        <v>0</v>
      </c>
      <c r="BG159" s="586" t="e">
        <f t="shared" si="354"/>
        <v>#DIV/0!</v>
      </c>
      <c r="BH159" s="161">
        <v>0</v>
      </c>
      <c r="BI159" s="671" t="e">
        <f t="shared" si="355"/>
        <v>#DIV/0!</v>
      </c>
      <c r="BJ159" s="161">
        <v>0</v>
      </c>
      <c r="BK159" s="549" t="e">
        <f t="shared" si="429"/>
        <v>#DIV/0!</v>
      </c>
      <c r="BL159" s="161">
        <f t="shared" si="442"/>
        <v>0</v>
      </c>
      <c r="BM159" s="549" t="e">
        <f t="shared" si="356"/>
        <v>#DIV/0!</v>
      </c>
      <c r="BN159" s="54">
        <f t="shared" ref="BN159:BN161" si="457">AV159-BH159</f>
        <v>0</v>
      </c>
      <c r="BO159" s="671" t="e">
        <f t="shared" si="348"/>
        <v>#DIV/0!</v>
      </c>
      <c r="BP159" s="54">
        <f t="shared" si="357"/>
        <v>0</v>
      </c>
      <c r="BQ159" s="671" t="e">
        <f t="shared" si="349"/>
        <v>#DIV/0!</v>
      </c>
      <c r="BR159" s="161">
        <f t="shared" si="443"/>
        <v>0</v>
      </c>
      <c r="BS159" s="550" t="e">
        <f t="shared" si="358"/>
        <v>#DIV/0!</v>
      </c>
      <c r="BT159" s="54">
        <f t="shared" si="359"/>
        <v>0</v>
      </c>
      <c r="BU159" s="550" t="e">
        <f t="shared" si="351"/>
        <v>#DIV/0!</v>
      </c>
      <c r="BV159" s="166"/>
      <c r="BW159" s="166"/>
      <c r="BX159" s="505" t="s">
        <v>275</v>
      </c>
      <c r="BY159" s="265">
        <v>0</v>
      </c>
      <c r="BZ159" s="161">
        <f t="shared" si="444"/>
        <v>0</v>
      </c>
      <c r="CA159" s="162" t="e">
        <f>SUM(BZ159/BT159)</f>
        <v>#DIV/0!</v>
      </c>
      <c r="CB159" s="161"/>
      <c r="CC159" s="162" t="e">
        <f>SUM(CB159/BV159)</f>
        <v>#DIV/0!</v>
      </c>
      <c r="CD159" s="161"/>
      <c r="CE159" s="162"/>
      <c r="CF159" s="161" t="s">
        <v>276</v>
      </c>
      <c r="CG159" s="161" t="s">
        <v>81</v>
      </c>
      <c r="CH159" s="161">
        <f t="shared" si="445"/>
        <v>0</v>
      </c>
      <c r="CI159" s="622"/>
      <c r="CJ159" s="161">
        <f t="shared" si="446"/>
        <v>0</v>
      </c>
      <c r="CK159" s="623"/>
    </row>
    <row r="160" spans="2:89" s="624" customFormat="1" ht="92.25" customHeight="1">
      <c r="B160" s="672" t="s">
        <v>277</v>
      </c>
      <c r="C160" s="248" t="s">
        <v>278</v>
      </c>
      <c r="D160" s="318"/>
      <c r="E160" s="318"/>
      <c r="F160" s="318"/>
      <c r="G160" s="318"/>
      <c r="H160" s="318"/>
      <c r="I160" s="450"/>
      <c r="J160" s="450">
        <f t="shared" si="451"/>
        <v>0</v>
      </c>
      <c r="K160" s="161">
        <f t="shared" si="434"/>
        <v>100000</v>
      </c>
      <c r="L160" s="192">
        <v>100000</v>
      </c>
      <c r="M160" s="192">
        <v>0</v>
      </c>
      <c r="N160" s="161">
        <f t="shared" si="435"/>
        <v>0</v>
      </c>
      <c r="O160" s="638">
        <f>R160-L160</f>
        <v>0</v>
      </c>
      <c r="P160" s="638">
        <v>0</v>
      </c>
      <c r="Q160" s="160">
        <f t="shared" si="436"/>
        <v>100000</v>
      </c>
      <c r="R160" s="190">
        <v>100000</v>
      </c>
      <c r="S160" s="190">
        <v>0</v>
      </c>
      <c r="T160" s="192"/>
      <c r="U160" s="636"/>
      <c r="V160" s="192"/>
      <c r="W160" s="636"/>
      <c r="X160" s="192"/>
      <c r="Y160" s="636"/>
      <c r="Z160" s="192"/>
      <c r="AA160" s="636"/>
      <c r="AB160" s="192"/>
      <c r="AC160" s="636"/>
      <c r="AD160" s="192"/>
      <c r="AE160" s="192"/>
      <c r="AF160" s="192"/>
      <c r="AG160" s="192"/>
      <c r="AH160" s="192"/>
      <c r="AI160" s="192"/>
      <c r="AJ160" s="192"/>
      <c r="AK160" s="192"/>
      <c r="AL160" s="636"/>
      <c r="AM160" s="636"/>
      <c r="AN160" s="192"/>
      <c r="AO160" s="636"/>
      <c r="AP160" s="636"/>
      <c r="AQ160" s="192"/>
      <c r="AR160" s="636"/>
      <c r="AS160" s="636"/>
      <c r="AT160" s="54">
        <f t="shared" si="455"/>
        <v>99999.969330000007</v>
      </c>
      <c r="AU160" s="550">
        <f t="shared" si="440"/>
        <v>0.99999969330000005</v>
      </c>
      <c r="AV160" s="673">
        <v>99999.969330000007</v>
      </c>
      <c r="AW160" s="377">
        <f t="shared" si="447"/>
        <v>0.99999969330000005</v>
      </c>
      <c r="AX160" s="192">
        <v>0</v>
      </c>
      <c r="AY160" s="639">
        <v>0</v>
      </c>
      <c r="AZ160" s="650">
        <f t="shared" si="456"/>
        <v>3.066999999282416E-2</v>
      </c>
      <c r="BA160" s="377">
        <f>AZ160/K160</f>
        <v>3.0669999992824161E-7</v>
      </c>
      <c r="BB160" s="674">
        <f>L160-AV160</f>
        <v>3.066999999282416E-2</v>
      </c>
      <c r="BC160" s="377">
        <f t="shared" si="450"/>
        <v>3.0669999992824161E-7</v>
      </c>
      <c r="BD160" s="638">
        <v>0</v>
      </c>
      <c r="BE160" s="377">
        <v>0</v>
      </c>
      <c r="BF160" s="161">
        <f t="shared" si="441"/>
        <v>99999.969330000007</v>
      </c>
      <c r="BG160" s="586">
        <f t="shared" si="354"/>
        <v>1</v>
      </c>
      <c r="BH160" s="161">
        <v>99999.969330000007</v>
      </c>
      <c r="BI160" s="586">
        <f t="shared" si="355"/>
        <v>1</v>
      </c>
      <c r="BJ160" s="192">
        <v>0</v>
      </c>
      <c r="BK160" s="549">
        <v>0</v>
      </c>
      <c r="BL160" s="192">
        <v>0</v>
      </c>
      <c r="BM160" s="575">
        <f t="shared" si="356"/>
        <v>0</v>
      </c>
      <c r="BN160" s="54">
        <f t="shared" si="457"/>
        <v>0</v>
      </c>
      <c r="BO160" s="586">
        <f t="shared" si="348"/>
        <v>0</v>
      </c>
      <c r="BP160" s="54">
        <f t="shared" si="357"/>
        <v>0</v>
      </c>
      <c r="BQ160" s="586">
        <v>0</v>
      </c>
      <c r="BR160" s="161">
        <f t="shared" si="443"/>
        <v>3.066999999282416E-2</v>
      </c>
      <c r="BS160" s="576">
        <f t="shared" si="358"/>
        <v>3.0669999992824161E-7</v>
      </c>
      <c r="BT160" s="54">
        <f t="shared" si="359"/>
        <v>3.066999999282416E-2</v>
      </c>
      <c r="BU160" s="576">
        <f t="shared" si="351"/>
        <v>3.0669999992824161E-7</v>
      </c>
      <c r="BV160" s="166">
        <v>0</v>
      </c>
      <c r="BW160" s="650">
        <v>0</v>
      </c>
      <c r="BX160" s="670" t="s">
        <v>279</v>
      </c>
      <c r="BY160" s="265"/>
      <c r="BZ160" s="161"/>
      <c r="CA160" s="162"/>
      <c r="CB160" s="161"/>
      <c r="CC160" s="162"/>
      <c r="CD160" s="161"/>
      <c r="CE160" s="162"/>
      <c r="CF160" s="161"/>
      <c r="CG160" s="161"/>
      <c r="CH160" s="161"/>
      <c r="CI160" s="622"/>
      <c r="CJ160" s="161"/>
      <c r="CK160" s="623"/>
    </row>
    <row r="161" spans="2:89" s="624" customFormat="1" ht="27.75" customHeight="1" thickBot="1">
      <c r="B161" s="672" t="s">
        <v>280</v>
      </c>
      <c r="C161" s="675" t="s">
        <v>281</v>
      </c>
      <c r="D161" s="318" t="s">
        <v>282</v>
      </c>
      <c r="E161" s="318">
        <f t="shared" si="432"/>
        <v>102494.755</v>
      </c>
      <c r="F161" s="318">
        <v>102494.755</v>
      </c>
      <c r="G161" s="318"/>
      <c r="H161" s="318">
        <f t="shared" si="433"/>
        <v>-36676.38781</v>
      </c>
      <c r="I161" s="450">
        <f t="shared" si="451"/>
        <v>-36676.38781</v>
      </c>
      <c r="J161" s="450">
        <f t="shared" si="451"/>
        <v>0</v>
      </c>
      <c r="K161" s="192">
        <f t="shared" si="434"/>
        <v>65818.367190000004</v>
      </c>
      <c r="L161" s="192">
        <f>R161</f>
        <v>65818.367190000004</v>
      </c>
      <c r="M161" s="192">
        <v>0</v>
      </c>
      <c r="N161" s="192">
        <f t="shared" si="435"/>
        <v>0</v>
      </c>
      <c r="O161" s="192">
        <f>R161-L161</f>
        <v>0</v>
      </c>
      <c r="P161" s="638">
        <f t="shared" si="452"/>
        <v>0</v>
      </c>
      <c r="Q161" s="190">
        <f t="shared" si="436"/>
        <v>65818.367190000004</v>
      </c>
      <c r="R161" s="190">
        <v>65818.367190000004</v>
      </c>
      <c r="S161" s="190">
        <v>0</v>
      </c>
      <c r="T161" s="192">
        <f t="shared" si="453"/>
        <v>84312.212060000005</v>
      </c>
      <c r="U161" s="636">
        <f t="shared" si="232"/>
        <v>1.2809830395307926</v>
      </c>
      <c r="V161" s="192">
        <v>84312.212060000005</v>
      </c>
      <c r="W161" s="636">
        <f t="shared" si="233"/>
        <v>1.2809830395307926</v>
      </c>
      <c r="X161" s="192"/>
      <c r="Y161" s="636">
        <v>0</v>
      </c>
      <c r="Z161" s="192">
        <f t="shared" si="437"/>
        <v>-18493.844870000001</v>
      </c>
      <c r="AA161" s="636">
        <f t="shared" si="235"/>
        <v>-0.28098303953079268</v>
      </c>
      <c r="AB161" s="192">
        <f t="shared" si="454"/>
        <v>-18493.844870000001</v>
      </c>
      <c r="AC161" s="636">
        <f t="shared" si="236"/>
        <v>-0.28098303953079268</v>
      </c>
      <c r="AD161" s="192"/>
      <c r="AE161" s="192">
        <f t="shared" si="438"/>
        <v>0</v>
      </c>
      <c r="AF161" s="192"/>
      <c r="AG161" s="192"/>
      <c r="AH161" s="192">
        <f t="shared" si="439"/>
        <v>18080.270710000001</v>
      </c>
      <c r="AI161" s="192">
        <v>18080.270710000001</v>
      </c>
      <c r="AJ161" s="192"/>
      <c r="AK161" s="192">
        <f>AN161+AQ161</f>
        <v>22616.811470000001</v>
      </c>
      <c r="AL161" s="636">
        <f t="shared" si="331"/>
        <v>1.2509111081777602</v>
      </c>
      <c r="AM161" s="676">
        <f t="shared" si="361"/>
        <v>0.34362462084043077</v>
      </c>
      <c r="AN161" s="655">
        <v>22616.811470000001</v>
      </c>
      <c r="AO161" s="676">
        <f t="shared" si="332"/>
        <v>1.2509111081777602</v>
      </c>
      <c r="AP161" s="676">
        <f t="shared" si="362"/>
        <v>0.34362462084043077</v>
      </c>
      <c r="AQ161" s="655">
        <v>0</v>
      </c>
      <c r="AR161" s="636" t="e">
        <f t="shared" si="333"/>
        <v>#DIV/0!</v>
      </c>
      <c r="AS161" s="636">
        <v>0</v>
      </c>
      <c r="AT161" s="192">
        <f>AV161+AX161</f>
        <v>60133.447850000004</v>
      </c>
      <c r="AU161" s="550">
        <f t="shared" si="440"/>
        <v>0.91362715936739725</v>
      </c>
      <c r="AV161" s="54">
        <f>59169.46315+963.9847</f>
        <v>60133.447850000004</v>
      </c>
      <c r="AW161" s="377">
        <f t="shared" si="447"/>
        <v>0.91362715936739725</v>
      </c>
      <c r="AX161" s="192">
        <v>0</v>
      </c>
      <c r="AY161" s="639">
        <v>0</v>
      </c>
      <c r="AZ161" s="638">
        <f t="shared" si="414"/>
        <v>5684.9193400000004</v>
      </c>
      <c r="BA161" s="639">
        <f>AZ161/K161</f>
        <v>8.6372840632602754E-2</v>
      </c>
      <c r="BB161" s="161">
        <f>L161-AV161</f>
        <v>5684.9193400000004</v>
      </c>
      <c r="BC161" s="377">
        <f t="shared" si="450"/>
        <v>8.6372840632602754E-2</v>
      </c>
      <c r="BD161" s="638">
        <f>G161-AX161</f>
        <v>0</v>
      </c>
      <c r="BE161" s="377">
        <v>0</v>
      </c>
      <c r="BF161" s="192">
        <f t="shared" si="441"/>
        <v>60133.447849999997</v>
      </c>
      <c r="BG161" s="657">
        <f t="shared" si="354"/>
        <v>0.99999999999999989</v>
      </c>
      <c r="BH161" s="192">
        <v>60133.447849999997</v>
      </c>
      <c r="BI161" s="586">
        <f t="shared" si="355"/>
        <v>0.99999999999999989</v>
      </c>
      <c r="BJ161" s="192">
        <v>0</v>
      </c>
      <c r="BK161" s="549">
        <v>0</v>
      </c>
      <c r="BL161" s="192">
        <f t="shared" si="442"/>
        <v>0</v>
      </c>
      <c r="BM161" s="549">
        <f t="shared" si="356"/>
        <v>0</v>
      </c>
      <c r="BN161" s="54">
        <f t="shared" si="457"/>
        <v>0</v>
      </c>
      <c r="BO161" s="586">
        <f t="shared" si="348"/>
        <v>0</v>
      </c>
      <c r="BP161" s="54">
        <f t="shared" si="357"/>
        <v>0</v>
      </c>
      <c r="BQ161" s="586">
        <v>0</v>
      </c>
      <c r="BR161" s="192">
        <f t="shared" si="443"/>
        <v>5684.9193400000077</v>
      </c>
      <c r="BS161" s="550">
        <f t="shared" si="358"/>
        <v>8.6372840632602865E-2</v>
      </c>
      <c r="BT161" s="655">
        <f t="shared" si="359"/>
        <v>5684.9193400000077</v>
      </c>
      <c r="BU161" s="550">
        <f t="shared" si="351"/>
        <v>8.6372840632602865E-2</v>
      </c>
      <c r="BV161" s="638">
        <v>0</v>
      </c>
      <c r="BW161" s="638">
        <v>0</v>
      </c>
      <c r="BX161" s="642" t="s">
        <v>283</v>
      </c>
      <c r="BY161" s="265">
        <v>0</v>
      </c>
      <c r="BZ161" s="161">
        <f t="shared" si="444"/>
        <v>0</v>
      </c>
      <c r="CA161" s="162"/>
      <c r="CB161" s="161"/>
      <c r="CC161" s="162"/>
      <c r="CD161" s="161"/>
      <c r="CE161" s="162"/>
      <c r="CF161" s="161" t="s">
        <v>81</v>
      </c>
      <c r="CG161" s="161" t="s">
        <v>81</v>
      </c>
      <c r="CH161" s="161">
        <f t="shared" si="445"/>
        <v>0</v>
      </c>
      <c r="CI161" s="622"/>
      <c r="CJ161" s="161">
        <f t="shared" si="446"/>
        <v>0</v>
      </c>
      <c r="CK161" s="623"/>
    </row>
    <row r="162" spans="2:89" s="682" customFormat="1" ht="36" customHeight="1" thickBot="1">
      <c r="B162" s="1199" t="s">
        <v>284</v>
      </c>
      <c r="C162" s="1200"/>
      <c r="D162" s="677"/>
      <c r="E162" s="677">
        <f t="shared" si="432"/>
        <v>6414170.3302099993</v>
      </c>
      <c r="F162" s="677">
        <f>F128+F151+F157</f>
        <v>5590709.1549699996</v>
      </c>
      <c r="G162" s="677">
        <f>G128+G151+G157</f>
        <v>823461.17524000001</v>
      </c>
      <c r="H162" s="677">
        <f t="shared" si="433"/>
        <v>261434.46376000036</v>
      </c>
      <c r="I162" s="677">
        <f>I128+I151+I157</f>
        <v>548048.89277000038</v>
      </c>
      <c r="J162" s="677">
        <f>J128+J151+J157</f>
        <v>-286614.42901000002</v>
      </c>
      <c r="K162" s="90">
        <f t="shared" si="434"/>
        <v>6805842.9142499994</v>
      </c>
      <c r="L162" s="90">
        <f>L128+L151+L157</f>
        <v>6268996.1680199997</v>
      </c>
      <c r="M162" s="90">
        <f>M128+M151+M157</f>
        <v>536846.74623000005</v>
      </c>
      <c r="N162" s="90">
        <f t="shared" si="435"/>
        <v>110580.68089000025</v>
      </c>
      <c r="O162" s="90">
        <f>O128+O151+O157</f>
        <v>110580.68089000025</v>
      </c>
      <c r="P162" s="90">
        <f>P128+P151+P157</f>
        <v>0</v>
      </c>
      <c r="Q162" s="677">
        <f>SUM(Q128,Q151,Q157)</f>
        <v>6902911.4284699997</v>
      </c>
      <c r="R162" s="677">
        <f>R128+R151+R157</f>
        <v>6366064.68224</v>
      </c>
      <c r="S162" s="677">
        <f>S128+S151+S157</f>
        <v>536846.74623000005</v>
      </c>
      <c r="T162" s="90">
        <f>T128+T151+T157</f>
        <v>6977736.6513099996</v>
      </c>
      <c r="U162" s="91">
        <f t="shared" si="232"/>
        <v>1.0108396614407358</v>
      </c>
      <c r="V162" s="90">
        <f>V128+V151+V157</f>
        <v>6446692.2085199999</v>
      </c>
      <c r="W162" s="91">
        <f t="shared" si="233"/>
        <v>1.0126652068906767</v>
      </c>
      <c r="X162" s="90">
        <f>X128+X151+X157</f>
        <v>531044.44279</v>
      </c>
      <c r="Y162" s="91">
        <f t="shared" si="234"/>
        <v>0.98919188114532375</v>
      </c>
      <c r="Z162" s="90">
        <f t="shared" si="437"/>
        <v>-174825.22283999977</v>
      </c>
      <c r="AA162" s="91">
        <f t="shared" si="235"/>
        <v>-2.5326302481437028E-2</v>
      </c>
      <c r="AB162" s="90">
        <f>AB128+AB151+AB157</f>
        <v>-180627.52627999976</v>
      </c>
      <c r="AC162" s="91">
        <f t="shared" si="236"/>
        <v>-2.8373498432071088E-2</v>
      </c>
      <c r="AD162" s="90">
        <f>AD128+AD151+AD157</f>
        <v>5802.3034399999997</v>
      </c>
      <c r="AE162" s="90">
        <f t="shared" si="438"/>
        <v>0</v>
      </c>
      <c r="AF162" s="90">
        <f>AF128+AF151+AF157</f>
        <v>0</v>
      </c>
      <c r="AG162" s="90">
        <f>AG128+AG151+AG157</f>
        <v>0</v>
      </c>
      <c r="AH162" s="90">
        <f t="shared" si="439"/>
        <v>2834246.1677800003</v>
      </c>
      <c r="AI162" s="90">
        <f>AI128+AI151+AI157</f>
        <v>2810839.4502100004</v>
      </c>
      <c r="AJ162" s="90">
        <f>AJ128+AJ151+AJ157</f>
        <v>23406.717570000001</v>
      </c>
      <c r="AK162" s="90">
        <f>AK128+AK151+AK157</f>
        <v>2090944.0254399998</v>
      </c>
      <c r="AL162" s="91">
        <f t="shared" si="331"/>
        <v>0.73774256068864619</v>
      </c>
      <c r="AM162" s="91">
        <f t="shared" si="361"/>
        <v>0.30290755532748426</v>
      </c>
      <c r="AN162" s="90">
        <f>AN128+AN151+AN157</f>
        <v>1777745.5191199998</v>
      </c>
      <c r="AO162" s="91">
        <f t="shared" si="332"/>
        <v>0.6324607116878137</v>
      </c>
      <c r="AP162" s="91">
        <f t="shared" si="362"/>
        <v>0.27925344900744431</v>
      </c>
      <c r="AQ162" s="90">
        <f>AQ128+AQ151+AQ157</f>
        <v>313198.50631999999</v>
      </c>
      <c r="AR162" s="91">
        <f t="shared" si="333"/>
        <v>13.380710276156845</v>
      </c>
      <c r="AS162" s="91">
        <f>AQ162/S162</f>
        <v>0.58340393886976649</v>
      </c>
      <c r="AT162" s="90">
        <f>AT128+AT151+AT157</f>
        <v>6575236.7451299997</v>
      </c>
      <c r="AU162" s="210">
        <f t="shared" si="440"/>
        <v>0.96611644258830021</v>
      </c>
      <c r="AV162" s="90">
        <f>AV128+AV151+AV157</f>
        <v>6060883.9802399995</v>
      </c>
      <c r="AW162" s="211">
        <f t="shared" si="447"/>
        <v>0.96680294863767158</v>
      </c>
      <c r="AX162" s="90">
        <f>AX128+AX151+AX157</f>
        <v>514352.76488999999</v>
      </c>
      <c r="AY162" s="211">
        <f>AX162/M162</f>
        <v>0.95809980874809475</v>
      </c>
      <c r="AZ162" s="90">
        <f>AZ128+AZ151+AZ157</f>
        <v>230606.13845000011</v>
      </c>
      <c r="BA162" s="211">
        <f>AZ162/K162</f>
        <v>3.3883552905277829E-2</v>
      </c>
      <c r="BB162" s="90">
        <f>BB128+BB151+BB157</f>
        <v>208112.18778000012</v>
      </c>
      <c r="BC162" s="211">
        <f t="shared" si="450"/>
        <v>3.3197051362328443E-2</v>
      </c>
      <c r="BD162" s="90">
        <f>BD128+BD151+BD157</f>
        <v>22493.981339999998</v>
      </c>
      <c r="BE162" s="211">
        <f>BD162/M162</f>
        <v>4.190019125190516E-2</v>
      </c>
      <c r="BF162" s="93">
        <f t="shared" si="441"/>
        <v>6575237.1441700002</v>
      </c>
      <c r="BG162" s="211">
        <f t="shared" si="354"/>
        <v>1.0000000606883093</v>
      </c>
      <c r="BH162" s="90">
        <f>BH128+BH151+BH157</f>
        <v>6060884.37928</v>
      </c>
      <c r="BI162" s="211">
        <f t="shared" si="355"/>
        <v>1.000000065838581</v>
      </c>
      <c r="BJ162" s="90">
        <f>BJ128+BJ151+BJ157</f>
        <v>514352.76488999999</v>
      </c>
      <c r="BK162" s="211">
        <f t="shared" si="429"/>
        <v>1</v>
      </c>
      <c r="BL162" s="93">
        <f t="shared" si="442"/>
        <v>-0.3990400000475347</v>
      </c>
      <c r="BM162" s="211">
        <f t="shared" si="356"/>
        <v>-6.0688309108122501E-8</v>
      </c>
      <c r="BN162" s="90">
        <f>BN128+BN151+BN157</f>
        <v>-0.3990400000475347</v>
      </c>
      <c r="BO162" s="211">
        <f t="shared" si="348"/>
        <v>-6.583858086518486E-8</v>
      </c>
      <c r="BP162" s="90">
        <f t="shared" si="357"/>
        <v>0</v>
      </c>
      <c r="BQ162" s="211">
        <f t="shared" si="349"/>
        <v>0</v>
      </c>
      <c r="BR162" s="93">
        <f t="shared" si="443"/>
        <v>230605.77007999975</v>
      </c>
      <c r="BS162" s="210">
        <f t="shared" si="358"/>
        <v>3.3883498779726448E-2</v>
      </c>
      <c r="BT162" s="45">
        <f t="shared" si="359"/>
        <v>208111.78873999976</v>
      </c>
      <c r="BU162" s="210">
        <f t="shared" si="351"/>
        <v>3.3196987709394277E-2</v>
      </c>
      <c r="BV162" s="90">
        <f>BV128+BV151+BV157</f>
        <v>22493.981339999998</v>
      </c>
      <c r="BW162" s="210">
        <f>BV162/M162</f>
        <v>4.190019125190516E-2</v>
      </c>
      <c r="BX162" s="677"/>
      <c r="BY162" s="678">
        <f>AD162/S162</f>
        <v>1.0808118854676139E-2</v>
      </c>
      <c r="BZ162" s="214" t="e">
        <f t="shared" si="444"/>
        <v>#REF!</v>
      </c>
      <c r="CA162" s="679" t="e">
        <f>SUM(BZ162/BT162)</f>
        <v>#REF!</v>
      </c>
      <c r="CB162" s="214" t="e">
        <f>CB128+CB151+CB157</f>
        <v>#REF!</v>
      </c>
      <c r="CC162" s="679" t="e">
        <f>SUM(CB162/BV162)</f>
        <v>#REF!</v>
      </c>
      <c r="CD162" s="214" t="e">
        <f>CD128+CD151+CD157</f>
        <v>#REF!</v>
      </c>
      <c r="CE162" s="679" t="e">
        <f>SUM(CD162/#REF!)</f>
        <v>#REF!</v>
      </c>
      <c r="CF162" s="214" t="s">
        <v>285</v>
      </c>
      <c r="CG162" s="629" t="s">
        <v>207</v>
      </c>
      <c r="CH162" s="214">
        <f t="shared" si="445"/>
        <v>0</v>
      </c>
      <c r="CI162" s="680"/>
      <c r="CJ162" s="214">
        <f t="shared" si="446"/>
        <v>0</v>
      </c>
      <c r="CK162" s="681"/>
    </row>
    <row r="163" spans="2:89" s="420" customFormat="1" ht="46.5" customHeight="1">
      <c r="B163" s="1201" t="s">
        <v>201</v>
      </c>
      <c r="C163" s="1202"/>
      <c r="D163" s="115"/>
      <c r="E163" s="115">
        <f t="shared" ref="E163:AK163" si="458">E137</f>
        <v>436177.55</v>
      </c>
      <c r="F163" s="115">
        <f t="shared" si="458"/>
        <v>436177.55</v>
      </c>
      <c r="G163" s="115">
        <f t="shared" si="458"/>
        <v>0</v>
      </c>
      <c r="H163" s="115">
        <f t="shared" si="458"/>
        <v>220322.45</v>
      </c>
      <c r="I163" s="115">
        <f t="shared" si="458"/>
        <v>220322.45</v>
      </c>
      <c r="J163" s="115">
        <f t="shared" si="458"/>
        <v>0</v>
      </c>
      <c r="K163" s="116">
        <f t="shared" si="458"/>
        <v>656500</v>
      </c>
      <c r="L163" s="116">
        <f t="shared" si="458"/>
        <v>656500</v>
      </c>
      <c r="M163" s="116">
        <f t="shared" si="458"/>
        <v>0</v>
      </c>
      <c r="N163" s="116">
        <f t="shared" si="458"/>
        <v>0</v>
      </c>
      <c r="O163" s="116">
        <f t="shared" si="458"/>
        <v>0</v>
      </c>
      <c r="P163" s="116">
        <f t="shared" si="458"/>
        <v>0</v>
      </c>
      <c r="Q163" s="115">
        <f t="shared" si="458"/>
        <v>656500</v>
      </c>
      <c r="R163" s="115">
        <f t="shared" si="458"/>
        <v>656500</v>
      </c>
      <c r="S163" s="115">
        <f t="shared" si="458"/>
        <v>0</v>
      </c>
      <c r="T163" s="116">
        <f t="shared" si="458"/>
        <v>656500</v>
      </c>
      <c r="U163" s="683">
        <f t="shared" si="232"/>
        <v>1</v>
      </c>
      <c r="V163" s="116">
        <f t="shared" si="458"/>
        <v>656500</v>
      </c>
      <c r="W163" s="683">
        <f t="shared" si="233"/>
        <v>1</v>
      </c>
      <c r="X163" s="116">
        <f t="shared" si="458"/>
        <v>0</v>
      </c>
      <c r="Y163" s="683">
        <v>0</v>
      </c>
      <c r="Z163" s="116">
        <f t="shared" si="458"/>
        <v>0</v>
      </c>
      <c r="AA163" s="683">
        <f t="shared" si="235"/>
        <v>0</v>
      </c>
      <c r="AB163" s="116">
        <f t="shared" si="458"/>
        <v>0</v>
      </c>
      <c r="AC163" s="683">
        <f t="shared" si="236"/>
        <v>0</v>
      </c>
      <c r="AD163" s="116">
        <f t="shared" si="458"/>
        <v>0</v>
      </c>
      <c r="AE163" s="116">
        <f t="shared" si="458"/>
        <v>0</v>
      </c>
      <c r="AF163" s="116">
        <f t="shared" si="458"/>
        <v>0</v>
      </c>
      <c r="AG163" s="116">
        <f t="shared" si="458"/>
        <v>0</v>
      </c>
      <c r="AH163" s="116">
        <f t="shared" si="458"/>
        <v>66275.054879999996</v>
      </c>
      <c r="AI163" s="116">
        <f t="shared" si="458"/>
        <v>66275.054879999996</v>
      </c>
      <c r="AJ163" s="116">
        <f t="shared" si="458"/>
        <v>0</v>
      </c>
      <c r="AK163" s="116">
        <f t="shared" si="458"/>
        <v>70012.893960000001</v>
      </c>
      <c r="AL163" s="683">
        <f t="shared" si="331"/>
        <v>1.0563988832113058</v>
      </c>
      <c r="AM163" s="683">
        <f t="shared" si="361"/>
        <v>0.1066456876770754</v>
      </c>
      <c r="AN163" s="116">
        <f>AN137</f>
        <v>70012.893960000001</v>
      </c>
      <c r="AO163" s="683">
        <f t="shared" si="332"/>
        <v>1.0563988832113058</v>
      </c>
      <c r="AP163" s="683">
        <f t="shared" si="362"/>
        <v>0.1066456876770754</v>
      </c>
      <c r="AQ163" s="116">
        <f>AQ137</f>
        <v>0</v>
      </c>
      <c r="AR163" s="683" t="e">
        <f t="shared" si="333"/>
        <v>#DIV/0!</v>
      </c>
      <c r="AS163" s="683">
        <v>0</v>
      </c>
      <c r="AT163" s="116">
        <f>AT137</f>
        <v>656500</v>
      </c>
      <c r="AU163" s="684">
        <f t="shared" si="440"/>
        <v>1</v>
      </c>
      <c r="AV163" s="116">
        <f>AV137</f>
        <v>656500</v>
      </c>
      <c r="AW163" s="150">
        <f t="shared" si="447"/>
        <v>1</v>
      </c>
      <c r="AX163" s="116">
        <f>AX137</f>
        <v>0</v>
      </c>
      <c r="AY163" s="150">
        <v>0</v>
      </c>
      <c r="AZ163" s="116">
        <f t="shared" ref="AZ163:BV163" si="459">AZ137</f>
        <v>0</v>
      </c>
      <c r="BA163" s="150">
        <f>AZ163/K163</f>
        <v>0</v>
      </c>
      <c r="BB163" s="685">
        <f>L163-AV163</f>
        <v>0</v>
      </c>
      <c r="BC163" s="150">
        <f t="shared" si="450"/>
        <v>0</v>
      </c>
      <c r="BD163" s="116">
        <f t="shared" si="459"/>
        <v>0</v>
      </c>
      <c r="BE163" s="150">
        <v>0</v>
      </c>
      <c r="BF163" s="116">
        <f t="shared" si="459"/>
        <v>656500</v>
      </c>
      <c r="BG163" s="150">
        <f t="shared" si="354"/>
        <v>1</v>
      </c>
      <c r="BH163" s="116">
        <f t="shared" si="459"/>
        <v>656500</v>
      </c>
      <c r="BI163" s="150">
        <f t="shared" si="355"/>
        <v>1</v>
      </c>
      <c r="BJ163" s="116">
        <f t="shared" si="459"/>
        <v>0</v>
      </c>
      <c r="BK163" s="150">
        <v>0</v>
      </c>
      <c r="BL163" s="116">
        <f t="shared" si="459"/>
        <v>0</v>
      </c>
      <c r="BM163" s="150">
        <f t="shared" si="356"/>
        <v>0</v>
      </c>
      <c r="BN163" s="116">
        <f t="shared" si="459"/>
        <v>0</v>
      </c>
      <c r="BO163" s="150">
        <f t="shared" si="348"/>
        <v>0</v>
      </c>
      <c r="BP163" s="116">
        <f t="shared" si="357"/>
        <v>0</v>
      </c>
      <c r="BQ163" s="150">
        <v>0</v>
      </c>
      <c r="BR163" s="116">
        <f>BT163+BV163</f>
        <v>0</v>
      </c>
      <c r="BS163" s="600">
        <f t="shared" si="358"/>
        <v>0</v>
      </c>
      <c r="BT163" s="116">
        <f t="shared" si="359"/>
        <v>0</v>
      </c>
      <c r="BU163" s="600">
        <f t="shared" si="351"/>
        <v>0</v>
      </c>
      <c r="BV163" s="116">
        <f t="shared" si="459"/>
        <v>0</v>
      </c>
      <c r="BW163" s="600">
        <v>0</v>
      </c>
      <c r="BX163" s="115"/>
      <c r="BY163" s="290">
        <v>0</v>
      </c>
      <c r="BZ163" s="152" t="e">
        <f t="shared" ref="BZ163:CE163" si="460">BZ137</f>
        <v>#REF!</v>
      </c>
      <c r="CA163" s="152" t="e">
        <f t="shared" si="460"/>
        <v>#REF!</v>
      </c>
      <c r="CB163" s="152" t="e">
        <f t="shared" si="460"/>
        <v>#REF!</v>
      </c>
      <c r="CC163" s="152" t="e">
        <f t="shared" si="460"/>
        <v>#REF!</v>
      </c>
      <c r="CD163" s="152">
        <f t="shared" si="460"/>
        <v>0</v>
      </c>
      <c r="CE163" s="152">
        <f t="shared" si="460"/>
        <v>0</v>
      </c>
      <c r="CF163" s="152" t="s">
        <v>81</v>
      </c>
      <c r="CG163" s="152" t="s">
        <v>81</v>
      </c>
      <c r="CH163" s="152">
        <f t="shared" ref="CH163" si="461">CH137</f>
        <v>0</v>
      </c>
      <c r="CI163" s="418"/>
      <c r="CJ163" s="152">
        <f t="shared" ref="CJ163" si="462">CJ137</f>
        <v>0</v>
      </c>
      <c r="CK163" s="419"/>
    </row>
    <row r="164" spans="2:89" s="624" customFormat="1" ht="42" customHeight="1">
      <c r="B164" s="1203" t="s">
        <v>286</v>
      </c>
      <c r="C164" s="1204"/>
      <c r="D164" s="160"/>
      <c r="E164" s="160">
        <f t="shared" ref="E164:AK164" si="463">E162-E163</f>
        <v>5977992.7802099995</v>
      </c>
      <c r="F164" s="160">
        <f t="shared" si="463"/>
        <v>5154531.6049699998</v>
      </c>
      <c r="G164" s="160">
        <f t="shared" si="463"/>
        <v>823461.17524000001</v>
      </c>
      <c r="H164" s="160">
        <f t="shared" si="463"/>
        <v>41112.013760000351</v>
      </c>
      <c r="I164" s="160">
        <f t="shared" si="463"/>
        <v>327726.44277000037</v>
      </c>
      <c r="J164" s="160">
        <f t="shared" si="463"/>
        <v>-286614.42901000002</v>
      </c>
      <c r="K164" s="161">
        <f t="shared" si="463"/>
        <v>6149342.9142499994</v>
      </c>
      <c r="L164" s="161">
        <f t="shared" si="463"/>
        <v>5612496.1680199997</v>
      </c>
      <c r="M164" s="161">
        <f t="shared" si="463"/>
        <v>536846.74623000005</v>
      </c>
      <c r="N164" s="161">
        <f t="shared" si="463"/>
        <v>110580.68089000025</v>
      </c>
      <c r="O164" s="161">
        <f t="shared" si="463"/>
        <v>110580.68089000025</v>
      </c>
      <c r="P164" s="161">
        <f t="shared" si="463"/>
        <v>0</v>
      </c>
      <c r="Q164" s="160">
        <f t="shared" si="463"/>
        <v>6246411.4284699997</v>
      </c>
      <c r="R164" s="160">
        <f t="shared" si="463"/>
        <v>5709564.68224</v>
      </c>
      <c r="S164" s="160">
        <f t="shared" si="463"/>
        <v>536846.74623000005</v>
      </c>
      <c r="T164" s="161">
        <f t="shared" si="463"/>
        <v>6321236.6513099996</v>
      </c>
      <c r="U164" s="583">
        <f t="shared" si="232"/>
        <v>1.0119789136045314</v>
      </c>
      <c r="V164" s="161">
        <f t="shared" si="463"/>
        <v>5790192.2085199999</v>
      </c>
      <c r="W164" s="583">
        <f t="shared" si="233"/>
        <v>1.0141214839952331</v>
      </c>
      <c r="X164" s="161">
        <f t="shared" si="463"/>
        <v>531044.44279</v>
      </c>
      <c r="Y164" s="583">
        <f t="shared" si="234"/>
        <v>0.98919188114532375</v>
      </c>
      <c r="Z164" s="161">
        <f t="shared" si="463"/>
        <v>-174825.22283999977</v>
      </c>
      <c r="AA164" s="583">
        <f t="shared" si="235"/>
        <v>-2.798810562544414E-2</v>
      </c>
      <c r="AB164" s="161">
        <f t="shared" si="463"/>
        <v>-180627.52627999976</v>
      </c>
      <c r="AC164" s="583">
        <f t="shared" si="236"/>
        <v>-3.1635954110801882E-2</v>
      </c>
      <c r="AD164" s="161">
        <f t="shared" si="463"/>
        <v>5802.3034399999997</v>
      </c>
      <c r="AE164" s="161">
        <f t="shared" si="463"/>
        <v>0</v>
      </c>
      <c r="AF164" s="161">
        <f t="shared" si="463"/>
        <v>0</v>
      </c>
      <c r="AG164" s="161">
        <f t="shared" si="463"/>
        <v>0</v>
      </c>
      <c r="AH164" s="161">
        <f t="shared" si="463"/>
        <v>2767971.1129000001</v>
      </c>
      <c r="AI164" s="161">
        <f t="shared" si="463"/>
        <v>2744564.3953300002</v>
      </c>
      <c r="AJ164" s="161">
        <f t="shared" si="463"/>
        <v>23406.717570000001</v>
      </c>
      <c r="AK164" s="161">
        <f t="shared" si="463"/>
        <v>2020931.1314799997</v>
      </c>
      <c r="AL164" s="583">
        <f t="shared" si="331"/>
        <v>0.73011279708142351</v>
      </c>
      <c r="AM164" s="583">
        <f t="shared" si="361"/>
        <v>0.32353474544903743</v>
      </c>
      <c r="AN164" s="161">
        <f>AN162-AN163</f>
        <v>1707732.6251599998</v>
      </c>
      <c r="AO164" s="583">
        <f t="shared" si="332"/>
        <v>0.62222355870599488</v>
      </c>
      <c r="AP164" s="583">
        <f t="shared" si="362"/>
        <v>0.29910032028746808</v>
      </c>
      <c r="AQ164" s="161">
        <f>AQ162-AQ163</f>
        <v>313198.50631999999</v>
      </c>
      <c r="AR164" s="583">
        <f t="shared" si="333"/>
        <v>13.380710276156845</v>
      </c>
      <c r="AS164" s="583">
        <f t="shared" si="346"/>
        <v>0.58340393886976649</v>
      </c>
      <c r="AT164" s="161">
        <f>AT162-AT163</f>
        <v>5918736.7451299997</v>
      </c>
      <c r="AU164" s="550">
        <f t="shared" si="440"/>
        <v>0.96249905521033619</v>
      </c>
      <c r="AV164" s="161">
        <f>AV162-AV163</f>
        <v>5404383.9802399995</v>
      </c>
      <c r="AW164" s="549">
        <f t="shared" si="447"/>
        <v>0.96291985213890685</v>
      </c>
      <c r="AX164" s="161">
        <f>AX162-AX163</f>
        <v>514352.76488999999</v>
      </c>
      <c r="AY164" s="443">
        <f>AX164/M164</f>
        <v>0.95809980874809475</v>
      </c>
      <c r="AZ164" s="161">
        <f t="shared" ref="AZ164:BV164" si="464">AZ162-AZ163</f>
        <v>230606.13845000011</v>
      </c>
      <c r="BA164" s="443">
        <f>AZ164/K164</f>
        <v>3.7500939802139144E-2</v>
      </c>
      <c r="BB164" s="166">
        <f>L164-AV164</f>
        <v>208112.18778000027</v>
      </c>
      <c r="BC164" s="443">
        <f t="shared" si="450"/>
        <v>3.7080147861093149E-2</v>
      </c>
      <c r="BD164" s="161">
        <f t="shared" si="464"/>
        <v>22493.981339999998</v>
      </c>
      <c r="BE164" s="443">
        <f>BD164/M164</f>
        <v>4.190019125190516E-2</v>
      </c>
      <c r="BF164" s="161">
        <f t="shared" si="464"/>
        <v>5918737.1441700002</v>
      </c>
      <c r="BG164" s="443">
        <f t="shared" si="354"/>
        <v>1.000000067419792</v>
      </c>
      <c r="BH164" s="161">
        <f t="shared" si="464"/>
        <v>5404384.37928</v>
      </c>
      <c r="BI164" s="443">
        <f t="shared" si="355"/>
        <v>1.0000000738363526</v>
      </c>
      <c r="BJ164" s="161">
        <f t="shared" si="464"/>
        <v>514352.76488999999</v>
      </c>
      <c r="BK164" s="443">
        <f t="shared" si="429"/>
        <v>1</v>
      </c>
      <c r="BL164" s="161">
        <f t="shared" si="464"/>
        <v>-0.3990400000475347</v>
      </c>
      <c r="BM164" s="443">
        <f t="shared" si="356"/>
        <v>-6.7419791964200659E-8</v>
      </c>
      <c r="BN164" s="161">
        <f t="shared" si="464"/>
        <v>-0.3990400000475347</v>
      </c>
      <c r="BO164" s="443">
        <f t="shared" si="348"/>
        <v>-7.3836352395858816E-8</v>
      </c>
      <c r="BP164" s="161">
        <f t="shared" si="357"/>
        <v>0</v>
      </c>
      <c r="BQ164" s="443">
        <f t="shared" si="349"/>
        <v>0</v>
      </c>
      <c r="BR164" s="161">
        <f t="shared" si="464"/>
        <v>230605.77007999975</v>
      </c>
      <c r="BS164" s="688">
        <f t="shared" si="358"/>
        <v>3.7500879898177776E-2</v>
      </c>
      <c r="BT164" s="54">
        <f t="shared" si="359"/>
        <v>208111.78873999976</v>
      </c>
      <c r="BU164" s="688">
        <f t="shared" si="351"/>
        <v>3.7080076762603532E-2</v>
      </c>
      <c r="BV164" s="161">
        <f t="shared" si="464"/>
        <v>22493.981339999998</v>
      </c>
      <c r="BW164" s="688">
        <f t="shared" ref="BW164" si="465">BV164/M164</f>
        <v>4.190019125190516E-2</v>
      </c>
      <c r="BX164" s="160"/>
      <c r="BY164" s="265">
        <f>AD164/S164</f>
        <v>1.0808118854676139E-2</v>
      </c>
      <c r="BZ164" s="161" t="e">
        <f t="shared" ref="BZ164:CE164" si="466">BZ162-BZ163</f>
        <v>#REF!</v>
      </c>
      <c r="CA164" s="161" t="e">
        <f t="shared" si="466"/>
        <v>#REF!</v>
      </c>
      <c r="CB164" s="161" t="e">
        <f t="shared" si="466"/>
        <v>#REF!</v>
      </c>
      <c r="CC164" s="161" t="e">
        <f t="shared" si="466"/>
        <v>#REF!</v>
      </c>
      <c r="CD164" s="161" t="e">
        <f t="shared" si="466"/>
        <v>#REF!</v>
      </c>
      <c r="CE164" s="161" t="e">
        <f t="shared" si="466"/>
        <v>#REF!</v>
      </c>
      <c r="CF164" s="161" t="s">
        <v>285</v>
      </c>
      <c r="CG164" s="166" t="s">
        <v>207</v>
      </c>
      <c r="CH164" s="161">
        <f t="shared" ref="CH164" si="467">CH162-CH163</f>
        <v>0</v>
      </c>
      <c r="CI164" s="622"/>
      <c r="CJ164" s="161">
        <f t="shared" ref="CJ164" si="468">CJ162-CJ163</f>
        <v>0</v>
      </c>
      <c r="CK164" s="623"/>
    </row>
    <row r="165" spans="2:89" ht="43.5" customHeight="1" thickBot="1">
      <c r="B165" s="1205" t="s">
        <v>287</v>
      </c>
      <c r="C165" s="1206"/>
      <c r="D165" s="1206"/>
      <c r="E165" s="1206"/>
      <c r="F165" s="1206"/>
      <c r="G165" s="1206"/>
      <c r="H165" s="1206"/>
      <c r="I165" s="1206"/>
      <c r="J165" s="1206"/>
      <c r="K165" s="1206"/>
      <c r="L165" s="1206"/>
      <c r="M165" s="1206"/>
      <c r="N165" s="1206"/>
      <c r="O165" s="1206"/>
      <c r="P165" s="1206"/>
      <c r="Q165" s="1206"/>
      <c r="R165" s="1206"/>
      <c r="S165" s="1206"/>
      <c r="T165" s="1206"/>
      <c r="U165" s="1206"/>
      <c r="V165" s="1206"/>
      <c r="W165" s="1206"/>
      <c r="X165" s="1206"/>
      <c r="Y165" s="1206"/>
      <c r="Z165" s="1206"/>
      <c r="AA165" s="1206"/>
      <c r="AB165" s="1206"/>
      <c r="AC165" s="1206"/>
      <c r="AD165" s="1206"/>
      <c r="AE165" s="1206"/>
      <c r="AF165" s="1206"/>
      <c r="AG165" s="1206"/>
      <c r="AH165" s="1206"/>
      <c r="AI165" s="1206"/>
      <c r="AJ165" s="1206"/>
      <c r="AK165" s="1206"/>
      <c r="AL165" s="1206"/>
      <c r="AM165" s="1206"/>
      <c r="AN165" s="1206"/>
      <c r="AO165" s="1206"/>
      <c r="AP165" s="1206"/>
      <c r="AQ165" s="1206"/>
      <c r="AR165" s="1206"/>
      <c r="AS165" s="1206"/>
      <c r="AT165" s="1206"/>
      <c r="AU165" s="1206"/>
      <c r="AV165" s="1206"/>
      <c r="AW165" s="1206"/>
      <c r="AX165" s="1206"/>
      <c r="AY165" s="1206"/>
      <c r="AZ165" s="1206"/>
      <c r="BA165" s="1206"/>
      <c r="BB165" s="1206"/>
      <c r="BC165" s="1206"/>
      <c r="BD165" s="1206"/>
      <c r="BE165" s="1206"/>
      <c r="BF165" s="1206"/>
      <c r="BG165" s="1206"/>
      <c r="BH165" s="1206"/>
      <c r="BI165" s="1206"/>
      <c r="BJ165" s="1206"/>
      <c r="BK165" s="1206"/>
      <c r="BL165" s="1206"/>
      <c r="BM165" s="1206"/>
      <c r="BN165" s="1206"/>
      <c r="BO165" s="1206"/>
      <c r="BP165" s="1206"/>
      <c r="BQ165" s="1206"/>
      <c r="BR165" s="1206"/>
      <c r="BS165" s="1206"/>
      <c r="BT165" s="1206"/>
      <c r="BU165" s="1206"/>
      <c r="BV165" s="1206"/>
      <c r="BW165" s="1206"/>
      <c r="BX165" s="1206"/>
      <c r="BY165" s="1206"/>
      <c r="BZ165" s="1206"/>
      <c r="CA165" s="1206"/>
      <c r="CB165" s="1206"/>
      <c r="CC165" s="1206"/>
      <c r="CD165" s="1206"/>
      <c r="CE165" s="1206"/>
      <c r="CF165" s="1206"/>
      <c r="CG165" s="1206"/>
      <c r="CH165" s="1206"/>
      <c r="CI165" s="1206"/>
      <c r="CJ165" s="1206"/>
      <c r="CK165" s="1207"/>
    </row>
    <row r="166" spans="2:89" s="698" customFormat="1" ht="51.75" customHeight="1" thickBot="1">
      <c r="B166" s="689" t="s">
        <v>217</v>
      </c>
      <c r="C166" s="690" t="s">
        <v>288</v>
      </c>
      <c r="D166" s="691" t="s">
        <v>289</v>
      </c>
      <c r="E166" s="563" t="e">
        <f t="shared" ref="E166:S166" si="469">E167+E188</f>
        <v>#REF!</v>
      </c>
      <c r="F166" s="563" t="e">
        <f t="shared" si="469"/>
        <v>#REF!</v>
      </c>
      <c r="G166" s="563" t="e">
        <f t="shared" si="469"/>
        <v>#REF!</v>
      </c>
      <c r="H166" s="563" t="e">
        <f t="shared" si="469"/>
        <v>#REF!</v>
      </c>
      <c r="I166" s="563" t="e">
        <f t="shared" si="469"/>
        <v>#REF!</v>
      </c>
      <c r="J166" s="563" t="e">
        <f t="shared" si="469"/>
        <v>#REF!</v>
      </c>
      <c r="K166" s="519">
        <f t="shared" si="469"/>
        <v>771900.22019999998</v>
      </c>
      <c r="L166" s="519">
        <f t="shared" si="469"/>
        <v>771900.22019999998</v>
      </c>
      <c r="M166" s="519">
        <f t="shared" si="469"/>
        <v>0</v>
      </c>
      <c r="N166" s="519">
        <f>O166+P166</f>
        <v>-1.1641532182693481E-10</v>
      </c>
      <c r="O166" s="519">
        <f t="shared" ref="O166:P166" si="470">O167+O188</f>
        <v>-1.1641532182693481E-10</v>
      </c>
      <c r="P166" s="519">
        <f t="shared" si="470"/>
        <v>0</v>
      </c>
      <c r="Q166" s="564">
        <f t="shared" si="469"/>
        <v>771900.22019999987</v>
      </c>
      <c r="R166" s="564">
        <f t="shared" si="469"/>
        <v>771900.22019999987</v>
      </c>
      <c r="S166" s="564">
        <f t="shared" si="469"/>
        <v>0</v>
      </c>
      <c r="T166" s="519" t="e">
        <f>T167+T188</f>
        <v>#REF!</v>
      </c>
      <c r="U166" s="565" t="e">
        <f t="shared" si="232"/>
        <v>#REF!</v>
      </c>
      <c r="V166" s="519" t="e">
        <f>V167+V188</f>
        <v>#REF!</v>
      </c>
      <c r="W166" s="565" t="e">
        <f t="shared" si="233"/>
        <v>#REF!</v>
      </c>
      <c r="X166" s="519" t="e">
        <f>X167+X188</f>
        <v>#REF!</v>
      </c>
      <c r="Y166" s="565">
        <v>0</v>
      </c>
      <c r="Z166" s="519" t="e">
        <f t="shared" ref="Z166:AJ166" si="471">Z167+Z188</f>
        <v>#REF!</v>
      </c>
      <c r="AA166" s="565" t="e">
        <f t="shared" si="235"/>
        <v>#REF!</v>
      </c>
      <c r="AB166" s="519" t="e">
        <f t="shared" si="471"/>
        <v>#REF!</v>
      </c>
      <c r="AC166" s="565" t="e">
        <f t="shared" si="236"/>
        <v>#REF!</v>
      </c>
      <c r="AD166" s="519" t="e">
        <f t="shared" si="471"/>
        <v>#REF!</v>
      </c>
      <c r="AE166" s="519" t="e">
        <f t="shared" si="471"/>
        <v>#REF!</v>
      </c>
      <c r="AF166" s="519" t="e">
        <f t="shared" si="471"/>
        <v>#REF!</v>
      </c>
      <c r="AG166" s="519" t="e">
        <f t="shared" si="471"/>
        <v>#REF!</v>
      </c>
      <c r="AH166" s="519" t="e">
        <f t="shared" si="471"/>
        <v>#REF!</v>
      </c>
      <c r="AI166" s="519" t="e">
        <f t="shared" si="471"/>
        <v>#REF!</v>
      </c>
      <c r="AJ166" s="519" t="e">
        <f t="shared" si="471"/>
        <v>#REF!</v>
      </c>
      <c r="AK166" s="519">
        <f>AN166+AQ166</f>
        <v>91623.282550000004</v>
      </c>
      <c r="AL166" s="692" t="e">
        <f t="shared" ref="AL166:AL210" si="472">AK166/AH166</f>
        <v>#REF!</v>
      </c>
      <c r="AM166" s="693">
        <f>AK166/K166</f>
        <v>0.11869835006169624</v>
      </c>
      <c r="AN166" s="519">
        <f t="shared" ref="AN166" si="473">AN167+AN188</f>
        <v>91623.282550000004</v>
      </c>
      <c r="AO166" s="692" t="e">
        <f t="shared" ref="AO166:AO210" si="474">AN166/AI166</f>
        <v>#REF!</v>
      </c>
      <c r="AP166" s="693">
        <f>AN166/L166</f>
        <v>0.11869835006169624</v>
      </c>
      <c r="AQ166" s="519">
        <f>AQ167+AQ188</f>
        <v>0</v>
      </c>
      <c r="AR166" s="692" t="e">
        <f t="shared" ref="AR166:AR210" si="475">AQ166/AJ166</f>
        <v>#REF!</v>
      </c>
      <c r="AS166" s="693">
        <v>0</v>
      </c>
      <c r="AT166" s="519">
        <f>AT167+AT188</f>
        <v>729452.40616000001</v>
      </c>
      <c r="AU166" s="566">
        <f t="shared" ref="AU166:AU179" si="476">AT166/K166</f>
        <v>0.94500867737930982</v>
      </c>
      <c r="AV166" s="519">
        <f>AV167+AV188</f>
        <v>729452.40616000001</v>
      </c>
      <c r="AW166" s="694">
        <f t="shared" ref="AW166:AW179" si="477">AV166/L166</f>
        <v>0.94500867737930982</v>
      </c>
      <c r="AX166" s="519">
        <f>AX167+AX188</f>
        <v>0</v>
      </c>
      <c r="AY166" s="694">
        <v>0</v>
      </c>
      <c r="AZ166" s="519">
        <f t="shared" ref="AZ166" si="478">AZ167+AZ188</f>
        <v>42447.814039999976</v>
      </c>
      <c r="BA166" s="694">
        <f t="shared" ref="BA166:BA210" si="479">AZ166/K166</f>
        <v>5.4991322620690161E-2</v>
      </c>
      <c r="BB166" s="519">
        <f>BB167+BB188</f>
        <v>42447.814040000027</v>
      </c>
      <c r="BC166" s="151">
        <f t="shared" ref="BC166:BC209" si="480">BB166/L166</f>
        <v>5.4991322620690231E-2</v>
      </c>
      <c r="BD166" s="519">
        <f t="shared" ref="BD166:BP166" si="481">BD167+BD188</f>
        <v>0</v>
      </c>
      <c r="BE166" s="151">
        <v>0</v>
      </c>
      <c r="BF166" s="519">
        <f>BF167+BF188</f>
        <v>729452.40616000001</v>
      </c>
      <c r="BG166" s="694">
        <f>BF166/AT166</f>
        <v>1</v>
      </c>
      <c r="BH166" s="519">
        <f>BH167+BH188</f>
        <v>729452.40616000001</v>
      </c>
      <c r="BI166" s="694">
        <f>BH166/AV166</f>
        <v>1</v>
      </c>
      <c r="BJ166" s="519">
        <f t="shared" si="481"/>
        <v>0</v>
      </c>
      <c r="BK166" s="694">
        <v>0</v>
      </c>
      <c r="BL166" s="519">
        <f>BL167+BL188</f>
        <v>0</v>
      </c>
      <c r="BM166" s="694">
        <f>BL166/AT166</f>
        <v>0</v>
      </c>
      <c r="BN166" s="519">
        <f>BN167+BN188</f>
        <v>0</v>
      </c>
      <c r="BO166" s="694">
        <f>BN166/AV166</f>
        <v>0</v>
      </c>
      <c r="BP166" s="519">
        <f t="shared" si="481"/>
        <v>0</v>
      </c>
      <c r="BQ166" s="694">
        <v>0</v>
      </c>
      <c r="BR166" s="564">
        <f>BT166</f>
        <v>42447.814039999976</v>
      </c>
      <c r="BS166" s="693">
        <f>BR166/K166</f>
        <v>5.4991322620690161E-2</v>
      </c>
      <c r="BT166" s="519">
        <f>BT167+BT188</f>
        <v>42447.814039999976</v>
      </c>
      <c r="BU166" s="693">
        <f>BT166/L166</f>
        <v>5.4991322620690161E-2</v>
      </c>
      <c r="BV166" s="519">
        <v>0</v>
      </c>
      <c r="BW166" s="693">
        <v>0</v>
      </c>
      <c r="BX166" s="645"/>
      <c r="BY166" s="82">
        <v>0</v>
      </c>
      <c r="BZ166" s="84" t="e">
        <f t="shared" ref="BZ166" si="482">BZ167+BZ188</f>
        <v>#REF!</v>
      </c>
      <c r="CA166" s="695" t="e">
        <f>SUM(BZ166/BT166)</f>
        <v>#REF!</v>
      </c>
      <c r="CB166" s="84" t="e">
        <f t="shared" ref="CB166" si="483">CB167+CB188</f>
        <v>#REF!</v>
      </c>
      <c r="CC166" s="695" t="e">
        <f>SUM(CB166/BV166)</f>
        <v>#REF!</v>
      </c>
      <c r="CD166" s="84" t="e">
        <f t="shared" ref="CD166" si="484">CD167+CD188</f>
        <v>#REF!</v>
      </c>
      <c r="CE166" s="695" t="e">
        <f>SUM(CD166/#REF!)</f>
        <v>#REF!</v>
      </c>
      <c r="CF166" s="84" t="s">
        <v>81</v>
      </c>
      <c r="CG166" s="84" t="s">
        <v>81</v>
      </c>
      <c r="CH166" s="84">
        <f t="shared" ref="CH166" si="485">CH167+CH188</f>
        <v>0</v>
      </c>
      <c r="CI166" s="696"/>
      <c r="CJ166" s="84">
        <f t="shared" ref="CJ166" si="486">CJ167+CJ188</f>
        <v>0</v>
      </c>
      <c r="CK166" s="697"/>
    </row>
    <row r="167" spans="2:89" s="704" customFormat="1" ht="37.5" hidden="1" customHeight="1">
      <c r="B167" s="699" t="s">
        <v>44</v>
      </c>
      <c r="C167" s="700" t="s">
        <v>218</v>
      </c>
      <c r="D167" s="701" t="s">
        <v>290</v>
      </c>
      <c r="E167" s="53">
        <f>E168+E169</f>
        <v>259714.65755999996</v>
      </c>
      <c r="F167" s="53">
        <f>F168+F169</f>
        <v>253284.66136999999</v>
      </c>
      <c r="G167" s="53">
        <f>G168+G169</f>
        <v>6429.9961899999998</v>
      </c>
      <c r="H167" s="53">
        <f>I167+J167</f>
        <v>-65028.581940000004</v>
      </c>
      <c r="I167" s="53">
        <f>I168+I169</f>
        <v>-58610.527350000004</v>
      </c>
      <c r="J167" s="53">
        <f>J168+J169</f>
        <v>-6418.0545899999997</v>
      </c>
      <c r="K167" s="54">
        <f>L167+M167</f>
        <v>194674.13402</v>
      </c>
      <c r="L167" s="54">
        <f>L168+L169</f>
        <v>194674.13402</v>
      </c>
      <c r="M167" s="54">
        <f>M168+M169</f>
        <v>0</v>
      </c>
      <c r="N167" s="54">
        <f>O167+P167</f>
        <v>4373.9191100000171</v>
      </c>
      <c r="O167" s="54">
        <f>O168+O169</f>
        <v>4373.9191100000171</v>
      </c>
      <c r="P167" s="54">
        <f>P168+P169</f>
        <v>0</v>
      </c>
      <c r="Q167" s="53">
        <f>R167+S167</f>
        <v>199048.05313000001</v>
      </c>
      <c r="R167" s="53">
        <f>R168+R169</f>
        <v>199048.05313000001</v>
      </c>
      <c r="S167" s="53">
        <f>S168+S169</f>
        <v>0</v>
      </c>
      <c r="T167" s="54">
        <f>T168+T169</f>
        <v>285180.47923</v>
      </c>
      <c r="U167" s="145">
        <f t="shared" si="232"/>
        <v>1.4327217711782698</v>
      </c>
      <c r="V167" s="54">
        <f>V168+V169</f>
        <v>285180.47923</v>
      </c>
      <c r="W167" s="145">
        <f t="shared" si="233"/>
        <v>1.4327217711782698</v>
      </c>
      <c r="X167" s="54">
        <f>X168+X169</f>
        <v>0</v>
      </c>
      <c r="Y167" s="145">
        <v>0</v>
      </c>
      <c r="Z167" s="54">
        <f>AB167+AD167</f>
        <v>-86132.426099999982</v>
      </c>
      <c r="AA167" s="145">
        <f t="shared" si="235"/>
        <v>-0.43272177117826993</v>
      </c>
      <c r="AB167" s="54">
        <f>AB168+AB169</f>
        <v>-86132.426099999982</v>
      </c>
      <c r="AC167" s="145">
        <f t="shared" si="236"/>
        <v>-0.43272177117826993</v>
      </c>
      <c r="AD167" s="54">
        <f>AD168+AD169</f>
        <v>0</v>
      </c>
      <c r="AE167" s="54">
        <f>AF167+AG167</f>
        <v>0</v>
      </c>
      <c r="AF167" s="54">
        <f>AF168+AF169</f>
        <v>0</v>
      </c>
      <c r="AG167" s="54">
        <f>AG168+AG169</f>
        <v>0</v>
      </c>
      <c r="AH167" s="54">
        <f>AI167+AJ167</f>
        <v>54788.589930000002</v>
      </c>
      <c r="AI167" s="54">
        <f>AI168+AI169</f>
        <v>54788.589930000002</v>
      </c>
      <c r="AJ167" s="54">
        <f>AJ168+AJ169</f>
        <v>0</v>
      </c>
      <c r="AK167" s="54">
        <f>AN167+AQ167</f>
        <v>60249.941100000004</v>
      </c>
      <c r="AL167" s="148">
        <f t="shared" si="472"/>
        <v>1.0996804476438915</v>
      </c>
      <c r="AM167" s="147">
        <f>AK167/K167</f>
        <v>0.30949125010007844</v>
      </c>
      <c r="AN167" s="54">
        <f>AN168+AN169</f>
        <v>60249.941100000004</v>
      </c>
      <c r="AO167" s="148">
        <f t="shared" si="474"/>
        <v>1.0996804476438915</v>
      </c>
      <c r="AP167" s="147">
        <f>AN167/L167</f>
        <v>0.30949125010007844</v>
      </c>
      <c r="AQ167" s="54">
        <f>AQ168+AQ169</f>
        <v>0</v>
      </c>
      <c r="AR167" s="148" t="e">
        <f t="shared" si="475"/>
        <v>#DIV/0!</v>
      </c>
      <c r="AS167" s="147">
        <v>0</v>
      </c>
      <c r="AT167" s="54">
        <f>AV167</f>
        <v>166761.84330000001</v>
      </c>
      <c r="AU167" s="550">
        <f t="shared" si="476"/>
        <v>0.85662044492704714</v>
      </c>
      <c r="AV167" s="54">
        <f>AV168+AV169</f>
        <v>166761.84330000001</v>
      </c>
      <c r="AW167" s="374">
        <f t="shared" si="477"/>
        <v>0.85662044492704714</v>
      </c>
      <c r="AX167" s="54">
        <f>AX168+AX169</f>
        <v>0</v>
      </c>
      <c r="AY167" s="374">
        <v>0</v>
      </c>
      <c r="AZ167" s="54">
        <f>AZ170+AZ173+AZ179+AZ182</f>
        <v>27912.290719999994</v>
      </c>
      <c r="BA167" s="377">
        <f t="shared" si="479"/>
        <v>0.14337955507295286</v>
      </c>
      <c r="BB167" s="54">
        <f>L167-AV167</f>
        <v>27912.29071999999</v>
      </c>
      <c r="BC167" s="377">
        <f t="shared" si="480"/>
        <v>0.14337955507295283</v>
      </c>
      <c r="BD167" s="54">
        <f t="shared" ref="BD167:BV167" si="487">BD168+BD169</f>
        <v>0</v>
      </c>
      <c r="BE167" s="377">
        <v>0</v>
      </c>
      <c r="BF167" s="54">
        <f>BH167</f>
        <v>166761.84330000001</v>
      </c>
      <c r="BG167" s="374">
        <f>BF167/AT167</f>
        <v>1</v>
      </c>
      <c r="BH167" s="54">
        <f>BH168+BH169</f>
        <v>166761.84330000001</v>
      </c>
      <c r="BI167" s="374">
        <f>BH167/AV167</f>
        <v>1</v>
      </c>
      <c r="BJ167" s="54">
        <f t="shared" si="487"/>
        <v>0</v>
      </c>
      <c r="BK167" s="374">
        <v>0</v>
      </c>
      <c r="BL167" s="54">
        <f>BN167</f>
        <v>0</v>
      </c>
      <c r="BM167" s="374">
        <f>BL167/AT167</f>
        <v>0</v>
      </c>
      <c r="BN167" s="54">
        <f>BN168+BN169</f>
        <v>0</v>
      </c>
      <c r="BO167" s="374">
        <f>BN167/AV167</f>
        <v>0</v>
      </c>
      <c r="BP167" s="54">
        <f t="shared" si="487"/>
        <v>0</v>
      </c>
      <c r="BQ167" s="374">
        <v>0</v>
      </c>
      <c r="BR167" s="54">
        <f t="shared" si="487"/>
        <v>27912.290719999994</v>
      </c>
      <c r="BS167" s="147">
        <f t="shared" ref="BS167:BS210" si="488">BR167/K167</f>
        <v>0.14337955507295286</v>
      </c>
      <c r="BT167" s="54">
        <f>BT168+BT169</f>
        <v>27912.290719999994</v>
      </c>
      <c r="BU167" s="147">
        <f t="shared" ref="BU167:BU210" si="489">BT167/L167</f>
        <v>0.14337955507295286</v>
      </c>
      <c r="BV167" s="54">
        <f t="shared" si="487"/>
        <v>0</v>
      </c>
      <c r="BW167" s="147">
        <v>0</v>
      </c>
      <c r="BX167" s="489"/>
      <c r="BY167" s="265">
        <v>0</v>
      </c>
      <c r="BZ167" s="161">
        <f>CB167+CD167</f>
        <v>0</v>
      </c>
      <c r="CA167" s="630">
        <f>SUM(BZ167/BT167)</f>
        <v>0</v>
      </c>
      <c r="CB167" s="161">
        <f>CB168+CB169</f>
        <v>0</v>
      </c>
      <c r="CC167" s="630" t="e">
        <f>SUM(CB167/BV167)</f>
        <v>#DIV/0!</v>
      </c>
      <c r="CD167" s="161">
        <f>CD168+CD169</f>
        <v>0</v>
      </c>
      <c r="CE167" s="630" t="e">
        <f>SUM(CD167/#REF!)</f>
        <v>#REF!</v>
      </c>
      <c r="CF167" s="161" t="s">
        <v>81</v>
      </c>
      <c r="CG167" s="161" t="s">
        <v>81</v>
      </c>
      <c r="CH167" s="161">
        <f>CI167+CJ167</f>
        <v>0</v>
      </c>
      <c r="CI167" s="702"/>
      <c r="CJ167" s="161">
        <f>CK167+CL167</f>
        <v>0</v>
      </c>
      <c r="CK167" s="703"/>
    </row>
    <row r="168" spans="2:89" s="42" customFormat="1" ht="29.25" hidden="1" customHeight="1">
      <c r="B168" s="705"/>
      <c r="C168" s="266" t="s">
        <v>291</v>
      </c>
      <c r="D168" s="706" t="s">
        <v>292</v>
      </c>
      <c r="E168" s="175">
        <f>E171+E174+E177+E180+E183+E186</f>
        <v>212467.37128999998</v>
      </c>
      <c r="F168" s="175">
        <f>F171+F174+F177+F180+F183+F186</f>
        <v>212467.37128999998</v>
      </c>
      <c r="G168" s="175">
        <f>G171+G174+G177+G180+G183</f>
        <v>0</v>
      </c>
      <c r="H168" s="175">
        <f>H171+H174+H177+H180+H183+H186</f>
        <v>-52511.625</v>
      </c>
      <c r="I168" s="175">
        <f>I171+I174+I177+I180+I183+I186</f>
        <v>-52511.625</v>
      </c>
      <c r="J168" s="175">
        <f>J171+J174+J177+J180+J183</f>
        <v>0</v>
      </c>
      <c r="K168" s="176">
        <f>L168</f>
        <v>159955.74628999998</v>
      </c>
      <c r="L168" s="176">
        <f>L171+L174+L177+L180+L183</f>
        <v>159955.74628999998</v>
      </c>
      <c r="M168" s="176">
        <f t="shared" ref="M168:Q169" si="490">M171+M174+M177+M180+M183</f>
        <v>0</v>
      </c>
      <c r="N168" s="176">
        <f>N171+N174+N177+N180+N183</f>
        <v>3452.3642999999938</v>
      </c>
      <c r="O168" s="176">
        <f>R168-L168</f>
        <v>3452.3643000000156</v>
      </c>
      <c r="P168" s="176"/>
      <c r="Q168" s="175">
        <f t="shared" si="490"/>
        <v>163408.11059</v>
      </c>
      <c r="R168" s="175">
        <f>R171+R174+R177+R180+R183+R186</f>
        <v>163408.11059</v>
      </c>
      <c r="S168" s="175">
        <f t="shared" ref="S168:AH169" si="491">S171+S174+S177+S180+S183</f>
        <v>0</v>
      </c>
      <c r="T168" s="176">
        <f>T171+T174+T177+T180+T183+T186</f>
        <v>235364.23439999999</v>
      </c>
      <c r="U168" s="607">
        <f t="shared" si="232"/>
        <v>1.4403460975724875</v>
      </c>
      <c r="V168" s="176">
        <f>V171+V174+V177+V180+V183+V186</f>
        <v>235364.23439999999</v>
      </c>
      <c r="W168" s="607">
        <f t="shared" si="233"/>
        <v>1.4403460975724875</v>
      </c>
      <c r="X168" s="176">
        <f t="shared" si="491"/>
        <v>0</v>
      </c>
      <c r="Y168" s="607">
        <v>0</v>
      </c>
      <c r="Z168" s="176">
        <f t="shared" si="491"/>
        <v>-71956.12380999999</v>
      </c>
      <c r="AA168" s="607">
        <f t="shared" si="235"/>
        <v>-0.44034609757248766</v>
      </c>
      <c r="AB168" s="176">
        <f t="shared" si="491"/>
        <v>-71956.12380999999</v>
      </c>
      <c r="AC168" s="607">
        <f t="shared" si="236"/>
        <v>-0.44034609757248766</v>
      </c>
      <c r="AD168" s="176">
        <f t="shared" si="491"/>
        <v>0</v>
      </c>
      <c r="AE168" s="176">
        <f t="shared" si="491"/>
        <v>0</v>
      </c>
      <c r="AF168" s="176">
        <f t="shared" si="491"/>
        <v>0</v>
      </c>
      <c r="AG168" s="176">
        <f t="shared" si="491"/>
        <v>0</v>
      </c>
      <c r="AH168" s="176">
        <f t="shared" si="491"/>
        <v>48741.748980000004</v>
      </c>
      <c r="AI168" s="176">
        <f>AI171+AI174+AI177+AI180+AI183+AI186</f>
        <v>48741.748980000004</v>
      </c>
      <c r="AJ168" s="176">
        <f>AJ171+AJ174+AJ177+AJ180+AJ183</f>
        <v>0</v>
      </c>
      <c r="AK168" s="486">
        <f t="shared" ref="AK168:AK169" si="492">AN168+AQ168</f>
        <v>51413.164230000002</v>
      </c>
      <c r="AL168" s="608">
        <f t="shared" si="472"/>
        <v>1.0548075378069866</v>
      </c>
      <c r="AM168" s="707">
        <f>AK168/K168</f>
        <v>0.32142117693469957</v>
      </c>
      <c r="AN168" s="176">
        <f>AN171+AN174+AN180</f>
        <v>51413.164230000002</v>
      </c>
      <c r="AO168" s="608">
        <f t="shared" si="474"/>
        <v>1.0548075378069866</v>
      </c>
      <c r="AP168" s="707">
        <f>AN168/L168</f>
        <v>0.32142117693469957</v>
      </c>
      <c r="AQ168" s="176">
        <v>0</v>
      </c>
      <c r="AR168" s="608" t="e">
        <f t="shared" si="475"/>
        <v>#DIV/0!</v>
      </c>
      <c r="AS168" s="707">
        <v>0</v>
      </c>
      <c r="AT168" s="176">
        <f>AV168+AX168</f>
        <v>139982.50456</v>
      </c>
      <c r="AU168" s="584">
        <f t="shared" si="476"/>
        <v>0.87513270268022469</v>
      </c>
      <c r="AV168" s="176">
        <f>AV171+AV174+AV177+AV180+AV183</f>
        <v>139982.50456</v>
      </c>
      <c r="AW168" s="373">
        <f t="shared" si="477"/>
        <v>0.87513270268022469</v>
      </c>
      <c r="AX168" s="176">
        <f>AX171+AX174+AX177+AX180+AX183</f>
        <v>0</v>
      </c>
      <c r="AY168" s="373">
        <v>0</v>
      </c>
      <c r="AZ168" s="176">
        <f>AZ171+AZ174+AZ177+AZ180+AZ183+AZ186</f>
        <v>19973.241729999994</v>
      </c>
      <c r="BA168" s="262">
        <f t="shared" si="479"/>
        <v>0.12486729731977543</v>
      </c>
      <c r="BB168" s="176">
        <f>BB171+BB174+BB177+BB180+BB183</f>
        <v>19973.241729999994</v>
      </c>
      <c r="BC168" s="262">
        <f t="shared" si="480"/>
        <v>0.12486729731977543</v>
      </c>
      <c r="BD168" s="176">
        <f t="shared" ref="BD168:BP169" si="493">BD171+BD174+BD177+BD180+BD183</f>
        <v>0</v>
      </c>
      <c r="BE168" s="375">
        <v>0</v>
      </c>
      <c r="BF168" s="176">
        <f t="shared" si="493"/>
        <v>139982.50456</v>
      </c>
      <c r="BG168" s="373">
        <f t="shared" ref="BG168:BG210" si="494">BF168/AT168</f>
        <v>1</v>
      </c>
      <c r="BH168" s="176">
        <f>BH171+BH174+BH177+BH180</f>
        <v>139982.50456</v>
      </c>
      <c r="BI168" s="373">
        <f t="shared" ref="BI168:BI209" si="495">BH168/AV168</f>
        <v>1</v>
      </c>
      <c r="BJ168" s="176">
        <f t="shared" si="493"/>
        <v>0</v>
      </c>
      <c r="BK168" s="373">
        <v>0</v>
      </c>
      <c r="BL168" s="176">
        <f t="shared" ref="BL168:BL169" si="496">BL171+BL174+BL177+BL180+BL183</f>
        <v>0</v>
      </c>
      <c r="BM168" s="374">
        <f>BL168/AT168</f>
        <v>0</v>
      </c>
      <c r="BN168" s="176">
        <f>BN171+BN174+BN177+BN180</f>
        <v>0</v>
      </c>
      <c r="BO168" s="374">
        <f t="shared" ref="BO168:BO209" si="497">BN168/AV168</f>
        <v>0</v>
      </c>
      <c r="BP168" s="176">
        <f t="shared" si="493"/>
        <v>0</v>
      </c>
      <c r="BQ168" s="374">
        <v>0</v>
      </c>
      <c r="BR168" s="176">
        <f>BR171+BR174+BR180</f>
        <v>19973.241729999994</v>
      </c>
      <c r="BS168" s="147">
        <f t="shared" si="488"/>
        <v>0.12486729731977543</v>
      </c>
      <c r="BT168" s="176">
        <f>BT171+BT174+BT180</f>
        <v>19973.241729999994</v>
      </c>
      <c r="BU168" s="147">
        <f t="shared" si="489"/>
        <v>0.12486729731977543</v>
      </c>
      <c r="BV168" s="176">
        <v>0</v>
      </c>
      <c r="BW168" s="147">
        <v>0</v>
      </c>
      <c r="BX168" s="303"/>
      <c r="BY168" s="271" t="e">
        <f t="shared" ref="BY168:BY187" si="498">AD168/S168</f>
        <v>#DIV/0!</v>
      </c>
      <c r="BZ168" s="176">
        <f t="shared" ref="BZ168:CE169" si="499">BZ171+BZ174+BZ177+BZ180+BZ183</f>
        <v>0</v>
      </c>
      <c r="CA168" s="176" t="e">
        <f t="shared" si="499"/>
        <v>#DIV/0!</v>
      </c>
      <c r="CB168" s="176">
        <f t="shared" si="499"/>
        <v>0</v>
      </c>
      <c r="CC168" s="176" t="e">
        <f t="shared" si="499"/>
        <v>#DIV/0!</v>
      </c>
      <c r="CD168" s="176">
        <f t="shared" si="499"/>
        <v>0</v>
      </c>
      <c r="CE168" s="176" t="e">
        <f t="shared" si="499"/>
        <v>#REF!</v>
      </c>
      <c r="CF168" s="176" t="s">
        <v>81</v>
      </c>
      <c r="CG168" s="176" t="s">
        <v>81</v>
      </c>
      <c r="CH168" s="176">
        <f t="shared" ref="CH168:CH169" si="500">CH171+CH174+CH177+CH180+CH183</f>
        <v>0</v>
      </c>
      <c r="CI168" s="272"/>
      <c r="CJ168" s="176">
        <f t="shared" ref="CJ168:CJ169" si="501">CJ171+CJ174+CJ177+CJ180+CJ183</f>
        <v>0</v>
      </c>
      <c r="CK168" s="273"/>
    </row>
    <row r="169" spans="2:89" s="42" customFormat="1" ht="16.5" hidden="1" customHeight="1">
      <c r="B169" s="705"/>
      <c r="C169" s="266" t="s">
        <v>293</v>
      </c>
      <c r="D169" s="706" t="s">
        <v>294</v>
      </c>
      <c r="E169" s="175">
        <f>E172+E175+E178+E181+E184+E187</f>
        <v>47247.286269999997</v>
      </c>
      <c r="F169" s="175">
        <f>F172+F175+F178+F181+F184+F187</f>
        <v>40817.290079999999</v>
      </c>
      <c r="G169" s="175">
        <f>G172+G175+G178+G181+G184+G187</f>
        <v>6429.9961899999998</v>
      </c>
      <c r="H169" s="175">
        <f>H172+H175+H178+H181+H184+H187</f>
        <v>-12516.95694</v>
      </c>
      <c r="I169" s="175">
        <f>I172+I175+I178+I181+I184+I187</f>
        <v>-6098.9023500000003</v>
      </c>
      <c r="J169" s="175">
        <f>J172+J175+J178+J181+J184</f>
        <v>-6418.0545899999997</v>
      </c>
      <c r="K169" s="176">
        <f>L169</f>
        <v>34718.387730000002</v>
      </c>
      <c r="L169" s="176">
        <f>L172+L175+L178+L181+L184</f>
        <v>34718.387730000002</v>
      </c>
      <c r="M169" s="176">
        <f t="shared" si="490"/>
        <v>0</v>
      </c>
      <c r="N169" s="176">
        <f t="shared" si="490"/>
        <v>921.55481000000145</v>
      </c>
      <c r="O169" s="176">
        <f>R169-L169</f>
        <v>921.55481000000145</v>
      </c>
      <c r="P169" s="176"/>
      <c r="Q169" s="175">
        <f t="shared" si="490"/>
        <v>35639.942540000004</v>
      </c>
      <c r="R169" s="175">
        <f>R172+R175+R178+R181+R184+R187</f>
        <v>35639.942540000004</v>
      </c>
      <c r="S169" s="175">
        <f t="shared" si="491"/>
        <v>0</v>
      </c>
      <c r="T169" s="176">
        <f t="shared" si="491"/>
        <v>49816.244829999996</v>
      </c>
      <c r="U169" s="607">
        <f t="shared" si="232"/>
        <v>1.3977644541398857</v>
      </c>
      <c r="V169" s="176">
        <f>V172+V175+V178+V181+V184+V187</f>
        <v>49816.244829999996</v>
      </c>
      <c r="W169" s="607">
        <f t="shared" si="233"/>
        <v>1.3977644541398857</v>
      </c>
      <c r="X169" s="176">
        <f t="shared" si="491"/>
        <v>0</v>
      </c>
      <c r="Y169" s="607">
        <v>0</v>
      </c>
      <c r="Z169" s="176">
        <f t="shared" si="491"/>
        <v>-14176.30229</v>
      </c>
      <c r="AA169" s="607">
        <f t="shared" si="235"/>
        <v>-0.39776445413988587</v>
      </c>
      <c r="AB169" s="176">
        <f t="shared" si="491"/>
        <v>-14176.30229</v>
      </c>
      <c r="AC169" s="607">
        <f t="shared" si="236"/>
        <v>-0.39776445413988587</v>
      </c>
      <c r="AD169" s="176">
        <f t="shared" si="491"/>
        <v>0</v>
      </c>
      <c r="AE169" s="176">
        <f t="shared" si="491"/>
        <v>0</v>
      </c>
      <c r="AF169" s="176">
        <f t="shared" si="491"/>
        <v>0</v>
      </c>
      <c r="AG169" s="176">
        <f t="shared" si="491"/>
        <v>0</v>
      </c>
      <c r="AH169" s="176">
        <f t="shared" si="491"/>
        <v>6046.8409499999998</v>
      </c>
      <c r="AI169" s="176">
        <f>AI172+AI175+AI178+AI181+AI184+AI187</f>
        <v>6046.8409499999998</v>
      </c>
      <c r="AJ169" s="176">
        <f>AJ172+AJ175+AJ178+AJ181+AJ184</f>
        <v>0</v>
      </c>
      <c r="AK169" s="486">
        <f t="shared" si="492"/>
        <v>8836.7768699999997</v>
      </c>
      <c r="AL169" s="608">
        <f t="shared" si="472"/>
        <v>1.4613873497036498</v>
      </c>
      <c r="AM169" s="707">
        <f t="shared" ref="AM169:AM204" si="502">AK169/K169</f>
        <v>0.25452728216305337</v>
      </c>
      <c r="AN169" s="176">
        <f>AN172+AN175+AN181</f>
        <v>8836.7768699999997</v>
      </c>
      <c r="AO169" s="608">
        <f t="shared" si="474"/>
        <v>1.4613873497036498</v>
      </c>
      <c r="AP169" s="707">
        <f t="shared" ref="AP169:AP204" si="503">AN169/L169</f>
        <v>0.25452728216305337</v>
      </c>
      <c r="AQ169" s="176">
        <v>0</v>
      </c>
      <c r="AR169" s="608" t="e">
        <f t="shared" si="475"/>
        <v>#DIV/0!</v>
      </c>
      <c r="AS169" s="707">
        <v>0</v>
      </c>
      <c r="AT169" s="176">
        <f>AV169+AX169</f>
        <v>26779.338739999999</v>
      </c>
      <c r="AU169" s="584">
        <f t="shared" si="476"/>
        <v>0.77133013630296243</v>
      </c>
      <c r="AV169" s="176">
        <f>AV172+AV175+AV178+AV181+AV184</f>
        <v>26779.338739999999</v>
      </c>
      <c r="AW169" s="373">
        <f t="shared" si="477"/>
        <v>0.77133013630296243</v>
      </c>
      <c r="AX169" s="176">
        <f>AX172+AX175+AX178+AX181+AX184</f>
        <v>0</v>
      </c>
      <c r="AY169" s="373">
        <v>0</v>
      </c>
      <c r="AZ169" s="176">
        <f t="shared" ref="AZ169" si="504">AZ172+AZ175+AZ178+AZ181+AZ184</f>
        <v>7939.0489900000002</v>
      </c>
      <c r="BA169" s="262">
        <f t="shared" si="479"/>
        <v>0.22866986369703751</v>
      </c>
      <c r="BB169" s="176">
        <f>BB172+BB175+BB178+BB181+BB184</f>
        <v>7939.0489900000002</v>
      </c>
      <c r="BC169" s="262">
        <f t="shared" si="480"/>
        <v>0.22866986369703751</v>
      </c>
      <c r="BD169" s="176">
        <f>BD172+BD175+BD178+BD181+BD184+BD187</f>
        <v>0</v>
      </c>
      <c r="BE169" s="375">
        <v>0</v>
      </c>
      <c r="BF169" s="176">
        <f t="shared" si="493"/>
        <v>26779.338739999999</v>
      </c>
      <c r="BG169" s="373">
        <f t="shared" si="494"/>
        <v>1</v>
      </c>
      <c r="BH169" s="176">
        <f>BH172+BH175+BH181</f>
        <v>26779.338739999999</v>
      </c>
      <c r="BI169" s="373">
        <f t="shared" si="495"/>
        <v>1</v>
      </c>
      <c r="BJ169" s="176">
        <f t="shared" si="493"/>
        <v>0</v>
      </c>
      <c r="BK169" s="373">
        <v>0</v>
      </c>
      <c r="BL169" s="176">
        <f t="shared" si="496"/>
        <v>0</v>
      </c>
      <c r="BM169" s="374">
        <f t="shared" ref="BM169:BM210" si="505">BL169/AT169</f>
        <v>0</v>
      </c>
      <c r="BN169" s="176">
        <f>BN172+BN175+BN181</f>
        <v>0</v>
      </c>
      <c r="BO169" s="374">
        <f t="shared" si="497"/>
        <v>0</v>
      </c>
      <c r="BP169" s="176">
        <f t="shared" si="493"/>
        <v>0</v>
      </c>
      <c r="BQ169" s="374">
        <v>0</v>
      </c>
      <c r="BR169" s="176">
        <f t="shared" ref="BR169:BR173" si="506">BT169+BV169</f>
        <v>7939.0489900000002</v>
      </c>
      <c r="BS169" s="147">
        <f t="shared" si="488"/>
        <v>0.22866986369703751</v>
      </c>
      <c r="BT169" s="176">
        <f>BT172+BT175+BT181</f>
        <v>7939.0489900000002</v>
      </c>
      <c r="BU169" s="147">
        <f t="shared" si="489"/>
        <v>0.22866986369703751</v>
      </c>
      <c r="BV169" s="176">
        <v>0</v>
      </c>
      <c r="BW169" s="147">
        <v>0</v>
      </c>
      <c r="BX169" s="303"/>
      <c r="BY169" s="271" t="e">
        <f t="shared" si="498"/>
        <v>#DIV/0!</v>
      </c>
      <c r="BZ169" s="176">
        <f t="shared" si="499"/>
        <v>0</v>
      </c>
      <c r="CA169" s="176" t="e">
        <f t="shared" si="499"/>
        <v>#DIV/0!</v>
      </c>
      <c r="CB169" s="176">
        <f t="shared" si="499"/>
        <v>0</v>
      </c>
      <c r="CC169" s="176" t="e">
        <f t="shared" si="499"/>
        <v>#DIV/0!</v>
      </c>
      <c r="CD169" s="176">
        <f t="shared" si="499"/>
        <v>0</v>
      </c>
      <c r="CE169" s="176" t="e">
        <f t="shared" si="499"/>
        <v>#REF!</v>
      </c>
      <c r="CF169" s="176" t="s">
        <v>81</v>
      </c>
      <c r="CG169" s="176" t="s">
        <v>81</v>
      </c>
      <c r="CH169" s="176">
        <f t="shared" si="500"/>
        <v>0</v>
      </c>
      <c r="CI169" s="272"/>
      <c r="CJ169" s="176">
        <f t="shared" si="501"/>
        <v>0</v>
      </c>
      <c r="CK169" s="273"/>
    </row>
    <row r="170" spans="2:89" s="42" customFormat="1" ht="39" hidden="1" customHeight="1">
      <c r="B170" s="705" t="s">
        <v>295</v>
      </c>
      <c r="C170" s="708" t="s">
        <v>296</v>
      </c>
      <c r="D170" s="706"/>
      <c r="E170" s="175">
        <f>F170+G170</f>
        <v>31629.159250000004</v>
      </c>
      <c r="F170" s="175">
        <f>F171+F172</f>
        <v>31629.159250000004</v>
      </c>
      <c r="G170" s="175">
        <f>G171+G172</f>
        <v>0</v>
      </c>
      <c r="H170" s="175">
        <f>I170+J170</f>
        <v>43080.592100000002</v>
      </c>
      <c r="I170" s="175">
        <f>I171+I172</f>
        <v>43080.592100000002</v>
      </c>
      <c r="J170" s="175">
        <f>J171+J172</f>
        <v>0</v>
      </c>
      <c r="K170" s="176">
        <f>L170+M170</f>
        <v>74709.751350000006</v>
      </c>
      <c r="L170" s="176">
        <f>L171+L172</f>
        <v>74709.751350000006</v>
      </c>
      <c r="M170" s="176">
        <v>0</v>
      </c>
      <c r="N170" s="176">
        <f>O170+P170</f>
        <v>-10548.068740000006</v>
      </c>
      <c r="O170" s="176">
        <f>O171+O172</f>
        <v>-10548.068740000006</v>
      </c>
      <c r="P170" s="176">
        <f>P171+P172</f>
        <v>0</v>
      </c>
      <c r="Q170" s="175">
        <f>R170+S170</f>
        <v>64161.682609999996</v>
      </c>
      <c r="R170" s="175">
        <f>R171+R172</f>
        <v>64161.682609999996</v>
      </c>
      <c r="S170" s="175">
        <f>S171+S172</f>
        <v>0</v>
      </c>
      <c r="T170" s="176">
        <f>T171+T172</f>
        <v>79478.684559999994</v>
      </c>
      <c r="U170" s="607">
        <f t="shared" si="232"/>
        <v>1.238725066533912</v>
      </c>
      <c r="V170" s="176">
        <f>V171+V172</f>
        <v>79478.684559999994</v>
      </c>
      <c r="W170" s="607">
        <f t="shared" si="233"/>
        <v>1.238725066533912</v>
      </c>
      <c r="X170" s="176">
        <f>X171+X172</f>
        <v>0</v>
      </c>
      <c r="Y170" s="607">
        <v>0</v>
      </c>
      <c r="Z170" s="176">
        <f>AB170+AD170</f>
        <v>-15317.001949999998</v>
      </c>
      <c r="AA170" s="607">
        <f t="shared" si="235"/>
        <v>-0.23872506653391207</v>
      </c>
      <c r="AB170" s="176">
        <f>AB171+AB172</f>
        <v>-15317.001949999998</v>
      </c>
      <c r="AC170" s="607">
        <f t="shared" si="236"/>
        <v>-0.23872506653391207</v>
      </c>
      <c r="AD170" s="176">
        <f>AD171+AD172</f>
        <v>0</v>
      </c>
      <c r="AE170" s="176">
        <f>AF170+AG170</f>
        <v>0</v>
      </c>
      <c r="AF170" s="176">
        <f>AF171+AF172</f>
        <v>0</v>
      </c>
      <c r="AG170" s="176">
        <f>AG171+AG172</f>
        <v>0</v>
      </c>
      <c r="AH170" s="176">
        <f>AI170+AJ170</f>
        <v>7265.3276900000001</v>
      </c>
      <c r="AI170" s="176">
        <f>AI171+AI172</f>
        <v>7265.3276900000001</v>
      </c>
      <c r="AJ170" s="176">
        <f>AJ171+AJ172</f>
        <v>0</v>
      </c>
      <c r="AK170" s="176">
        <f>AK171+AK172</f>
        <v>28800.04664</v>
      </c>
      <c r="AL170" s="608">
        <f t="shared" si="472"/>
        <v>3.9640395958520078</v>
      </c>
      <c r="AM170" s="707">
        <f t="shared" si="502"/>
        <v>0.38549247078975851</v>
      </c>
      <c r="AN170" s="176">
        <f>AN171+AN172</f>
        <v>28800.04664</v>
      </c>
      <c r="AO170" s="608">
        <f t="shared" si="474"/>
        <v>3.9640395958520078</v>
      </c>
      <c r="AP170" s="707">
        <f t="shared" si="503"/>
        <v>0.38549247078975851</v>
      </c>
      <c r="AQ170" s="176">
        <v>0</v>
      </c>
      <c r="AR170" s="608" t="e">
        <f t="shared" si="475"/>
        <v>#DIV/0!</v>
      </c>
      <c r="AS170" s="707">
        <v>0</v>
      </c>
      <c r="AT170" s="176">
        <f>AT171+AT172</f>
        <v>70104.832220000011</v>
      </c>
      <c r="AU170" s="584">
        <f t="shared" si="476"/>
        <v>0.93836254241528816</v>
      </c>
      <c r="AV170" s="176">
        <f>AV171+AV172</f>
        <v>70104.832220000011</v>
      </c>
      <c r="AW170" s="373">
        <f t="shared" si="477"/>
        <v>0.93836254241528816</v>
      </c>
      <c r="AX170" s="176">
        <f>AX171+AX172</f>
        <v>0</v>
      </c>
      <c r="AY170" s="373">
        <v>0</v>
      </c>
      <c r="AZ170" s="176">
        <f>AZ171+AZ172</f>
        <v>4604.9191299999948</v>
      </c>
      <c r="BA170" s="262">
        <f t="shared" si="479"/>
        <v>6.1637457584711855E-2</v>
      </c>
      <c r="BB170" s="176">
        <f>BB171+BB172</f>
        <v>4604.9191299999948</v>
      </c>
      <c r="BC170" s="262">
        <f t="shared" si="480"/>
        <v>6.1637457584711855E-2</v>
      </c>
      <c r="BD170" s="176">
        <f>BD171+BD172</f>
        <v>0</v>
      </c>
      <c r="BE170" s="375">
        <v>0</v>
      </c>
      <c r="BF170" s="176">
        <f>BH170+BJ170</f>
        <v>70104.832220000011</v>
      </c>
      <c r="BG170" s="373">
        <f t="shared" si="494"/>
        <v>1</v>
      </c>
      <c r="BH170" s="176">
        <f>BH171+BH172</f>
        <v>70104.832220000011</v>
      </c>
      <c r="BI170" s="373">
        <f t="shared" si="495"/>
        <v>1</v>
      </c>
      <c r="BJ170" s="176">
        <f>BJ171+BJ172</f>
        <v>0</v>
      </c>
      <c r="BK170" s="373">
        <v>0</v>
      </c>
      <c r="BL170" s="176">
        <f>BN170+BP170</f>
        <v>0</v>
      </c>
      <c r="BM170" s="374">
        <f t="shared" si="505"/>
        <v>0</v>
      </c>
      <c r="BN170" s="54">
        <f>BN171+BN172</f>
        <v>0</v>
      </c>
      <c r="BO170" s="374">
        <f t="shared" si="497"/>
        <v>0</v>
      </c>
      <c r="BP170" s="176">
        <f>BP171+BP172</f>
        <v>0</v>
      </c>
      <c r="BQ170" s="374">
        <v>0</v>
      </c>
      <c r="BR170" s="176">
        <f>BT170</f>
        <v>4604.9191299999948</v>
      </c>
      <c r="BS170" s="147">
        <f t="shared" si="488"/>
        <v>6.1637457584711855E-2</v>
      </c>
      <c r="BT170" s="176">
        <f>BT171+BT172</f>
        <v>4604.9191299999948</v>
      </c>
      <c r="BU170" s="147">
        <f t="shared" si="489"/>
        <v>6.1637457584711855E-2</v>
      </c>
      <c r="BV170" s="176">
        <v>0</v>
      </c>
      <c r="BW170" s="147">
        <v>0</v>
      </c>
      <c r="BX170" s="609" t="s">
        <v>297</v>
      </c>
      <c r="BY170" s="271" t="e">
        <f t="shared" si="498"/>
        <v>#DIV/0!</v>
      </c>
      <c r="BZ170" s="176">
        <f>CB170+CD170</f>
        <v>0</v>
      </c>
      <c r="CA170" s="631">
        <f t="shared" ref="CA170:CA178" si="507">SUM(BZ170/BT170)</f>
        <v>0</v>
      </c>
      <c r="CB170" s="176">
        <f>CB171+CB172</f>
        <v>0</v>
      </c>
      <c r="CC170" s="631" t="e">
        <f>SUM(CB170/BV170)</f>
        <v>#DIV/0!</v>
      </c>
      <c r="CD170" s="176">
        <f>CD171+CD172</f>
        <v>0</v>
      </c>
      <c r="CE170" s="631" t="e">
        <f>SUM(CD170/#REF!)</f>
        <v>#REF!</v>
      </c>
      <c r="CF170" s="176" t="s">
        <v>81</v>
      </c>
      <c r="CG170" s="176" t="s">
        <v>81</v>
      </c>
      <c r="CH170" s="176">
        <f>CI170+CJ170</f>
        <v>0</v>
      </c>
      <c r="CI170" s="272"/>
      <c r="CJ170" s="176">
        <f>CK170+CL170</f>
        <v>0</v>
      </c>
      <c r="CK170" s="273"/>
    </row>
    <row r="171" spans="2:89" s="42" customFormat="1" ht="15.75" hidden="1" customHeight="1">
      <c r="B171" s="705"/>
      <c r="C171" s="266" t="s">
        <v>244</v>
      </c>
      <c r="D171" s="706"/>
      <c r="E171" s="175">
        <f>F171+G171</f>
        <v>21656.784350000002</v>
      </c>
      <c r="F171" s="175">
        <v>21656.784350000002</v>
      </c>
      <c r="G171" s="175"/>
      <c r="H171" s="175">
        <f>I171+J171</f>
        <v>46537.382180000001</v>
      </c>
      <c r="I171" s="175">
        <f>L171-F171</f>
        <v>46537.382180000001</v>
      </c>
      <c r="J171" s="175">
        <f>M171-G171</f>
        <v>0</v>
      </c>
      <c r="K171" s="176">
        <f>L171+M171</f>
        <v>68194.166530000002</v>
      </c>
      <c r="L171" s="176">
        <v>68194.166530000002</v>
      </c>
      <c r="M171" s="176">
        <v>0</v>
      </c>
      <c r="N171" s="176">
        <f>O171+P171</f>
        <v>-10884.118720000006</v>
      </c>
      <c r="O171" s="176">
        <f>R171-L171</f>
        <v>-10884.118720000006</v>
      </c>
      <c r="P171" s="176"/>
      <c r="Q171" s="175">
        <f>R171+S171</f>
        <v>57310.047809999996</v>
      </c>
      <c r="R171" s="175">
        <v>57310.047809999996</v>
      </c>
      <c r="S171" s="175"/>
      <c r="T171" s="176">
        <f>V171+X171</f>
        <v>73618.513219999993</v>
      </c>
      <c r="U171" s="607">
        <f t="shared" si="232"/>
        <v>1.284565552345506</v>
      </c>
      <c r="V171" s="176">
        <v>73618.513219999993</v>
      </c>
      <c r="W171" s="607">
        <f t="shared" si="233"/>
        <v>1.284565552345506</v>
      </c>
      <c r="X171" s="176"/>
      <c r="Y171" s="607">
        <v>0</v>
      </c>
      <c r="Z171" s="176">
        <f>AB171+AD171</f>
        <v>-16308.465409999997</v>
      </c>
      <c r="AA171" s="607">
        <f t="shared" si="235"/>
        <v>-0.28456555234550585</v>
      </c>
      <c r="AB171" s="176">
        <f>R171-V171</f>
        <v>-16308.465409999997</v>
      </c>
      <c r="AC171" s="607">
        <f t="shared" si="236"/>
        <v>-0.28456555234550585</v>
      </c>
      <c r="AD171" s="176"/>
      <c r="AE171" s="176">
        <f>AF171+AG171</f>
        <v>0</v>
      </c>
      <c r="AF171" s="176"/>
      <c r="AG171" s="176"/>
      <c r="AH171" s="176">
        <f>AI171+AJ171</f>
        <v>6774.9840400000003</v>
      </c>
      <c r="AI171" s="176">
        <v>6774.9840400000003</v>
      </c>
      <c r="AJ171" s="176"/>
      <c r="AK171" s="176">
        <f>AN171+AQ171</f>
        <v>28309.702990000002</v>
      </c>
      <c r="AL171" s="608">
        <f t="shared" si="472"/>
        <v>4.1785637903879111</v>
      </c>
      <c r="AM171" s="707">
        <f t="shared" si="502"/>
        <v>0.41513379267632794</v>
      </c>
      <c r="AN171" s="176">
        <v>28309.702990000002</v>
      </c>
      <c r="AO171" s="608">
        <f t="shared" si="474"/>
        <v>4.1785637903879111</v>
      </c>
      <c r="AP171" s="707">
        <f t="shared" si="503"/>
        <v>0.41513379267632794</v>
      </c>
      <c r="AQ171" s="176">
        <v>0</v>
      </c>
      <c r="AR171" s="608" t="e">
        <f t="shared" si="475"/>
        <v>#DIV/0!</v>
      </c>
      <c r="AS171" s="707">
        <v>0</v>
      </c>
      <c r="AT171" s="176">
        <f>AV171+AX171</f>
        <v>67818.736180000007</v>
      </c>
      <c r="AU171" s="584">
        <f t="shared" si="476"/>
        <v>0.99449468526263407</v>
      </c>
      <c r="AV171" s="176">
        <v>67818.736180000007</v>
      </c>
      <c r="AW171" s="373">
        <f t="shared" si="477"/>
        <v>0.99449468526263407</v>
      </c>
      <c r="AX171" s="176">
        <v>0</v>
      </c>
      <c r="AY171" s="373">
        <v>0</v>
      </c>
      <c r="AZ171" s="176">
        <f>BB171+BD171</f>
        <v>375.43034999999509</v>
      </c>
      <c r="BA171" s="262">
        <f t="shared" si="479"/>
        <v>5.5053147373659243E-3</v>
      </c>
      <c r="BB171" s="176">
        <f>L171-AV171</f>
        <v>375.43034999999509</v>
      </c>
      <c r="BC171" s="262">
        <f t="shared" si="480"/>
        <v>5.5053147373659243E-3</v>
      </c>
      <c r="BD171" s="176">
        <f>G171-AX171</f>
        <v>0</v>
      </c>
      <c r="BE171" s="375">
        <v>0</v>
      </c>
      <c r="BF171" s="176">
        <f>BH171+BJ171</f>
        <v>67818.736180000007</v>
      </c>
      <c r="BG171" s="373">
        <f t="shared" si="494"/>
        <v>1</v>
      </c>
      <c r="BH171" s="176">
        <f>AV171</f>
        <v>67818.736180000007</v>
      </c>
      <c r="BI171" s="373">
        <f t="shared" si="495"/>
        <v>1</v>
      </c>
      <c r="BJ171" s="176">
        <v>0</v>
      </c>
      <c r="BK171" s="373">
        <v>0</v>
      </c>
      <c r="BL171" s="176">
        <f>BN171+BP171</f>
        <v>0</v>
      </c>
      <c r="BM171" s="374">
        <f t="shared" si="505"/>
        <v>0</v>
      </c>
      <c r="BN171" s="176">
        <f>AV171-BH171</f>
        <v>0</v>
      </c>
      <c r="BO171" s="374">
        <f t="shared" si="497"/>
        <v>0</v>
      </c>
      <c r="BP171" s="176">
        <v>0</v>
      </c>
      <c r="BQ171" s="374">
        <v>0</v>
      </c>
      <c r="BR171" s="176">
        <f>BT171</f>
        <v>375.43034999999509</v>
      </c>
      <c r="BS171" s="147">
        <f t="shared" si="488"/>
        <v>5.5053147373659243E-3</v>
      </c>
      <c r="BT171" s="176">
        <f>L171-BH171</f>
        <v>375.43034999999509</v>
      </c>
      <c r="BU171" s="147">
        <f t="shared" si="489"/>
        <v>5.5053147373659243E-3</v>
      </c>
      <c r="BV171" s="176">
        <v>0</v>
      </c>
      <c r="BW171" s="147">
        <v>0</v>
      </c>
      <c r="BX171" s="303"/>
      <c r="BY171" s="271" t="e">
        <f t="shared" si="498"/>
        <v>#DIV/0!</v>
      </c>
      <c r="BZ171" s="176">
        <f>CB171+CD171</f>
        <v>0</v>
      </c>
      <c r="CA171" s="631">
        <f t="shared" si="507"/>
        <v>0</v>
      </c>
      <c r="CB171" s="176"/>
      <c r="CC171" s="631" t="e">
        <f>SUM(CB171/BV171)</f>
        <v>#DIV/0!</v>
      </c>
      <c r="CD171" s="176"/>
      <c r="CE171" s="631" t="e">
        <f>SUM(CD171/#REF!)</f>
        <v>#REF!</v>
      </c>
      <c r="CF171" s="176" t="s">
        <v>81</v>
      </c>
      <c r="CG171" s="176" t="s">
        <v>81</v>
      </c>
      <c r="CH171" s="176">
        <f>CI171+CJ171</f>
        <v>0</v>
      </c>
      <c r="CI171" s="272"/>
      <c r="CJ171" s="176">
        <f>CK171+CL171</f>
        <v>0</v>
      </c>
      <c r="CK171" s="273"/>
    </row>
    <row r="172" spans="2:89" s="42" customFormat="1" ht="33.75" hidden="1" customHeight="1">
      <c r="B172" s="705"/>
      <c r="C172" s="266" t="s">
        <v>293</v>
      </c>
      <c r="D172" s="706"/>
      <c r="E172" s="175">
        <f>F172+G172</f>
        <v>9972.3749000000007</v>
      </c>
      <c r="F172" s="175">
        <v>9972.3749000000007</v>
      </c>
      <c r="G172" s="175"/>
      <c r="H172" s="175">
        <f>I172+J172</f>
        <v>-3456.7900800000007</v>
      </c>
      <c r="I172" s="175">
        <f>L172-F172</f>
        <v>-3456.7900800000007</v>
      </c>
      <c r="J172" s="175">
        <f>M172-G172</f>
        <v>0</v>
      </c>
      <c r="K172" s="176">
        <f>L172+M172</f>
        <v>6515.58482</v>
      </c>
      <c r="L172" s="176">
        <v>6515.58482</v>
      </c>
      <c r="M172" s="176">
        <v>0</v>
      </c>
      <c r="N172" s="176">
        <f>O172+P172</f>
        <v>336.04997999999978</v>
      </c>
      <c r="O172" s="176">
        <f>R172-L172</f>
        <v>336.04997999999978</v>
      </c>
      <c r="P172" s="176"/>
      <c r="Q172" s="175">
        <f>R172+S172</f>
        <v>6851.6347999999998</v>
      </c>
      <c r="R172" s="175">
        <v>6851.6347999999998</v>
      </c>
      <c r="S172" s="175"/>
      <c r="T172" s="176">
        <f>V172+X172</f>
        <v>5860.1713399999999</v>
      </c>
      <c r="U172" s="607">
        <f t="shared" si="232"/>
        <v>0.85529534352881742</v>
      </c>
      <c r="V172" s="176">
        <v>5860.1713399999999</v>
      </c>
      <c r="W172" s="607">
        <f t="shared" si="233"/>
        <v>0.85529534352881742</v>
      </c>
      <c r="X172" s="176"/>
      <c r="Y172" s="607">
        <v>0</v>
      </c>
      <c r="Z172" s="176">
        <f>AB172+AD172</f>
        <v>991.46345999999994</v>
      </c>
      <c r="AA172" s="607">
        <f t="shared" si="235"/>
        <v>0.14470465647118261</v>
      </c>
      <c r="AB172" s="176">
        <f>R172-V172</f>
        <v>991.46345999999994</v>
      </c>
      <c r="AC172" s="607">
        <f t="shared" si="236"/>
        <v>0.14470465647118261</v>
      </c>
      <c r="AD172" s="176"/>
      <c r="AE172" s="176">
        <f>AF172+AG172</f>
        <v>0</v>
      </c>
      <c r="AF172" s="176"/>
      <c r="AG172" s="176"/>
      <c r="AH172" s="176">
        <f>AI172+AJ172</f>
        <v>490.34365000000003</v>
      </c>
      <c r="AI172" s="176">
        <f>AN172</f>
        <v>490.34365000000003</v>
      </c>
      <c r="AJ172" s="176"/>
      <c r="AK172" s="176">
        <f>AN172+AQ172</f>
        <v>490.34365000000003</v>
      </c>
      <c r="AL172" s="608">
        <f t="shared" si="472"/>
        <v>1</v>
      </c>
      <c r="AM172" s="707">
        <f t="shared" si="502"/>
        <v>7.525704346520963E-2</v>
      </c>
      <c r="AN172" s="176">
        <v>490.34365000000003</v>
      </c>
      <c r="AO172" s="608">
        <f t="shared" si="474"/>
        <v>1</v>
      </c>
      <c r="AP172" s="707">
        <f t="shared" si="503"/>
        <v>7.525704346520963E-2</v>
      </c>
      <c r="AQ172" s="176">
        <v>0</v>
      </c>
      <c r="AR172" s="608" t="e">
        <f t="shared" si="475"/>
        <v>#DIV/0!</v>
      </c>
      <c r="AS172" s="707">
        <v>0</v>
      </c>
      <c r="AT172" s="176">
        <f>AV172+AX172</f>
        <v>2286.0960399999999</v>
      </c>
      <c r="AU172" s="584">
        <f t="shared" si="476"/>
        <v>0.35086582450476023</v>
      </c>
      <c r="AV172" s="176">
        <v>2286.0960399999999</v>
      </c>
      <c r="AW172" s="373">
        <f t="shared" si="477"/>
        <v>0.35086582450476023</v>
      </c>
      <c r="AX172" s="176">
        <v>0</v>
      </c>
      <c r="AY172" s="373">
        <v>0</v>
      </c>
      <c r="AZ172" s="176">
        <f>BB172+BD172</f>
        <v>4229.4887799999997</v>
      </c>
      <c r="BA172" s="262">
        <f t="shared" si="479"/>
        <v>0.64913417549523966</v>
      </c>
      <c r="BB172" s="176">
        <f>L172-AV172</f>
        <v>4229.4887799999997</v>
      </c>
      <c r="BC172" s="262">
        <f t="shared" si="480"/>
        <v>0.64913417549523966</v>
      </c>
      <c r="BD172" s="176">
        <f>G172-AX172</f>
        <v>0</v>
      </c>
      <c r="BE172" s="375">
        <v>0</v>
      </c>
      <c r="BF172" s="176">
        <f>BH172+BJ172</f>
        <v>2286.0960399999999</v>
      </c>
      <c r="BG172" s="373">
        <f t="shared" si="494"/>
        <v>1</v>
      </c>
      <c r="BH172" s="176">
        <f>AV172</f>
        <v>2286.0960399999999</v>
      </c>
      <c r="BI172" s="373">
        <f t="shared" si="495"/>
        <v>1</v>
      </c>
      <c r="BJ172" s="176">
        <v>0</v>
      </c>
      <c r="BK172" s="373">
        <v>0</v>
      </c>
      <c r="BL172" s="176">
        <f>BN172+BP172</f>
        <v>0</v>
      </c>
      <c r="BM172" s="374">
        <f t="shared" si="505"/>
        <v>0</v>
      </c>
      <c r="BN172" s="176">
        <f>AV172-BH172</f>
        <v>0</v>
      </c>
      <c r="BO172" s="374">
        <f t="shared" si="497"/>
        <v>0</v>
      </c>
      <c r="BP172" s="176">
        <v>0</v>
      </c>
      <c r="BQ172" s="374">
        <v>0</v>
      </c>
      <c r="BR172" s="176">
        <f>BT172</f>
        <v>4229.4887799999997</v>
      </c>
      <c r="BS172" s="147">
        <f t="shared" si="488"/>
        <v>0.64913417549523966</v>
      </c>
      <c r="BT172" s="176">
        <f>L172-BH172</f>
        <v>4229.4887799999997</v>
      </c>
      <c r="BU172" s="147">
        <f t="shared" si="489"/>
        <v>0.64913417549523966</v>
      </c>
      <c r="BV172" s="176">
        <v>0</v>
      </c>
      <c r="BW172" s="147">
        <v>0</v>
      </c>
      <c r="BX172" s="303"/>
      <c r="BY172" s="271" t="e">
        <f t="shared" si="498"/>
        <v>#DIV/0!</v>
      </c>
      <c r="BZ172" s="176">
        <f>CB172+CD172</f>
        <v>0</v>
      </c>
      <c r="CA172" s="631">
        <f t="shared" si="507"/>
        <v>0</v>
      </c>
      <c r="CB172" s="176"/>
      <c r="CC172" s="631" t="e">
        <f>SUM(CB172/BV172)</f>
        <v>#DIV/0!</v>
      </c>
      <c r="CD172" s="176"/>
      <c r="CE172" s="631" t="e">
        <f>SUM(CD172/#REF!)</f>
        <v>#REF!</v>
      </c>
      <c r="CF172" s="176" t="s">
        <v>81</v>
      </c>
      <c r="CG172" s="176" t="s">
        <v>81</v>
      </c>
      <c r="CH172" s="176">
        <f>CI172+CJ172</f>
        <v>0</v>
      </c>
      <c r="CI172" s="272"/>
      <c r="CJ172" s="176">
        <f>CK172+CL172</f>
        <v>0</v>
      </c>
      <c r="CK172" s="273"/>
    </row>
    <row r="173" spans="2:89" s="42" customFormat="1" ht="77.25" hidden="1" customHeight="1">
      <c r="B173" s="705" t="s">
        <v>298</v>
      </c>
      <c r="C173" s="708" t="s">
        <v>299</v>
      </c>
      <c r="D173" s="706"/>
      <c r="E173" s="175">
        <f>F173+G173</f>
        <v>213129.83020999999</v>
      </c>
      <c r="F173" s="175">
        <f>F174+F175</f>
        <v>206711.77562</v>
      </c>
      <c r="G173" s="175">
        <f>G174+G175</f>
        <v>6418.0545899999997</v>
      </c>
      <c r="H173" s="175">
        <f>I173+J173</f>
        <v>-111445.99026999999</v>
      </c>
      <c r="I173" s="175">
        <f>I174+I175</f>
        <v>-105027.93568</v>
      </c>
      <c r="J173" s="175">
        <f>J174+J175</f>
        <v>-6418.0545899999997</v>
      </c>
      <c r="K173" s="176">
        <f>L173+M173</f>
        <v>101683.83993999999</v>
      </c>
      <c r="L173" s="176">
        <f>L174+L175</f>
        <v>101683.83993999999</v>
      </c>
      <c r="M173" s="176">
        <f>M174+M175</f>
        <v>0</v>
      </c>
      <c r="N173" s="176">
        <f>O173+P173</f>
        <v>14791.969730000001</v>
      </c>
      <c r="O173" s="176">
        <f>O174+O175</f>
        <v>14791.969730000001</v>
      </c>
      <c r="P173" s="176">
        <f>P174+P175</f>
        <v>0</v>
      </c>
      <c r="Q173" s="175">
        <f>R173+S173</f>
        <v>116475.80966999999</v>
      </c>
      <c r="R173" s="175">
        <f>R174+R175</f>
        <v>116475.80966999999</v>
      </c>
      <c r="S173" s="175">
        <f>S174+S175</f>
        <v>0</v>
      </c>
      <c r="T173" s="176">
        <f t="shared" ref="T173:T186" si="508">V173+X173</f>
        <v>170812.35978999999</v>
      </c>
      <c r="U173" s="607">
        <f t="shared" ref="U173:U210" si="509">T173/Q173</f>
        <v>1.4665050217203612</v>
      </c>
      <c r="V173" s="176">
        <f>V174+V175</f>
        <v>170812.35978999999</v>
      </c>
      <c r="W173" s="607">
        <f t="shared" ref="W173:W209" si="510">V173/R173</f>
        <v>1.4665050217203612</v>
      </c>
      <c r="X173" s="176">
        <f>X174+X175</f>
        <v>0</v>
      </c>
      <c r="Y173" s="607">
        <v>0</v>
      </c>
      <c r="Z173" s="176">
        <f>AB173+AD173</f>
        <v>-54336.55012</v>
      </c>
      <c r="AA173" s="607">
        <f t="shared" ref="AA173:AA210" si="511">Z173/Q173</f>
        <v>-0.46650502172036118</v>
      </c>
      <c r="AB173" s="176">
        <f t="shared" ref="AB173:AB185" si="512">R173-V173</f>
        <v>-54336.55012</v>
      </c>
      <c r="AC173" s="607">
        <f t="shared" ref="AC173:AC209" si="513">AB173/R173</f>
        <v>-0.46650502172036118</v>
      </c>
      <c r="AD173" s="176">
        <f>AD174+AD175</f>
        <v>0</v>
      </c>
      <c r="AE173" s="176">
        <f>AF173+AG173</f>
        <v>0</v>
      </c>
      <c r="AF173" s="176">
        <f>AF174+AF175</f>
        <v>0</v>
      </c>
      <c r="AG173" s="176">
        <f>AG174+AG175</f>
        <v>0</v>
      </c>
      <c r="AH173" s="176">
        <f>AI173+AJ173</f>
        <v>45248.565040000001</v>
      </c>
      <c r="AI173" s="176">
        <f>AI174+AI175</f>
        <v>45248.565040000001</v>
      </c>
      <c r="AJ173" s="176">
        <f>AJ174+AJ175</f>
        <v>0</v>
      </c>
      <c r="AK173" s="176">
        <f>AK174+AK175</f>
        <v>24628.208569999999</v>
      </c>
      <c r="AL173" s="608">
        <f t="shared" si="472"/>
        <v>0.54428706298704754</v>
      </c>
      <c r="AM173" s="707">
        <f t="shared" si="502"/>
        <v>0.2422037620189425</v>
      </c>
      <c r="AN173" s="176">
        <f>AN174+AN175</f>
        <v>24628.208569999999</v>
      </c>
      <c r="AO173" s="608">
        <f t="shared" si="474"/>
        <v>0.54428706298704754</v>
      </c>
      <c r="AP173" s="707">
        <f t="shared" si="503"/>
        <v>0.2422037620189425</v>
      </c>
      <c r="AQ173" s="176">
        <v>0</v>
      </c>
      <c r="AR173" s="608" t="e">
        <f t="shared" si="475"/>
        <v>#DIV/0!</v>
      </c>
      <c r="AS173" s="707">
        <v>0</v>
      </c>
      <c r="AT173" s="176">
        <f>AT174+AT175</f>
        <v>79239.226349999997</v>
      </c>
      <c r="AU173" s="584">
        <f t="shared" si="476"/>
        <v>0.77927059399759335</v>
      </c>
      <c r="AV173" s="176">
        <f>AV174+AV175</f>
        <v>79239.226349999997</v>
      </c>
      <c r="AW173" s="373">
        <f t="shared" si="477"/>
        <v>0.77927059399759335</v>
      </c>
      <c r="AX173" s="176">
        <f>AX174+AX175</f>
        <v>0</v>
      </c>
      <c r="AY173" s="373">
        <v>0</v>
      </c>
      <c r="AZ173" s="176">
        <f>AZ174+AZ175</f>
        <v>22444.613589999997</v>
      </c>
      <c r="BA173" s="262">
        <f t="shared" si="479"/>
        <v>0.2207294060024067</v>
      </c>
      <c r="BB173" s="176">
        <f>BB174+BB175</f>
        <v>22444.613589999997</v>
      </c>
      <c r="BC173" s="262">
        <f t="shared" si="480"/>
        <v>0.2207294060024067</v>
      </c>
      <c r="BD173" s="176">
        <f>BD174+BD175</f>
        <v>0</v>
      </c>
      <c r="BE173" s="375">
        <v>0</v>
      </c>
      <c r="BF173" s="176">
        <f>BH173+BJ173</f>
        <v>79239.226349999997</v>
      </c>
      <c r="BG173" s="373">
        <f t="shared" si="494"/>
        <v>1</v>
      </c>
      <c r="BH173" s="176">
        <f>BH174+BH175</f>
        <v>79239.226349999997</v>
      </c>
      <c r="BI173" s="373">
        <f t="shared" si="495"/>
        <v>1</v>
      </c>
      <c r="BJ173" s="176">
        <f>BJ174+BJ175</f>
        <v>0</v>
      </c>
      <c r="BK173" s="373">
        <v>0</v>
      </c>
      <c r="BL173" s="176">
        <f>BN173+BP173</f>
        <v>0</v>
      </c>
      <c r="BM173" s="374">
        <f t="shared" si="505"/>
        <v>0</v>
      </c>
      <c r="BN173" s="54">
        <f>BN174+BN175</f>
        <v>0</v>
      </c>
      <c r="BO173" s="374">
        <f t="shared" si="497"/>
        <v>0</v>
      </c>
      <c r="BP173" s="176">
        <f>BP174+BP175</f>
        <v>0</v>
      </c>
      <c r="BQ173" s="374">
        <v>0</v>
      </c>
      <c r="BR173" s="176">
        <f t="shared" si="506"/>
        <v>22444.613589999997</v>
      </c>
      <c r="BS173" s="147">
        <f t="shared" si="488"/>
        <v>0.2207294060024067</v>
      </c>
      <c r="BT173" s="176">
        <f>BT174+BT175</f>
        <v>22444.613589999997</v>
      </c>
      <c r="BU173" s="147">
        <f t="shared" si="489"/>
        <v>0.2207294060024067</v>
      </c>
      <c r="BV173" s="176">
        <f>BV174+BV175</f>
        <v>0</v>
      </c>
      <c r="BW173" s="147">
        <v>0</v>
      </c>
      <c r="BX173" s="609" t="s">
        <v>300</v>
      </c>
      <c r="BY173" s="271" t="e">
        <f t="shared" si="498"/>
        <v>#DIV/0!</v>
      </c>
      <c r="BZ173" s="176">
        <f>CB173+CD173</f>
        <v>0</v>
      </c>
      <c r="CA173" s="631">
        <f t="shared" si="507"/>
        <v>0</v>
      </c>
      <c r="CB173" s="176">
        <f>CB174+CB175</f>
        <v>0</v>
      </c>
      <c r="CC173" s="631" t="e">
        <f>SUM(CB173/BV173)</f>
        <v>#DIV/0!</v>
      </c>
      <c r="CD173" s="176">
        <f>CD174+CD175</f>
        <v>0</v>
      </c>
      <c r="CE173" s="631" t="e">
        <f>SUM(CD173/#REF!)</f>
        <v>#REF!</v>
      </c>
      <c r="CF173" s="176" t="s">
        <v>81</v>
      </c>
      <c r="CG173" s="176" t="s">
        <v>81</v>
      </c>
      <c r="CH173" s="176">
        <f>CI173+CJ173</f>
        <v>0</v>
      </c>
      <c r="CI173" s="272"/>
      <c r="CJ173" s="176">
        <f>CK173+CL173</f>
        <v>0</v>
      </c>
      <c r="CK173" s="273"/>
    </row>
    <row r="174" spans="2:89" s="42" customFormat="1" ht="25.5" hidden="1" customHeight="1">
      <c r="B174" s="705"/>
      <c r="C174" s="266" t="s">
        <v>244</v>
      </c>
      <c r="D174" s="706"/>
      <c r="E174" s="175">
        <f>F174</f>
        <v>178112.28320999999</v>
      </c>
      <c r="F174" s="175">
        <v>178112.28320999999</v>
      </c>
      <c r="G174" s="175"/>
      <c r="H174" s="175">
        <f>I174</f>
        <v>-86350.703450000001</v>
      </c>
      <c r="I174" s="175">
        <f>L174-F174</f>
        <v>-86350.703450000001</v>
      </c>
      <c r="J174" s="175">
        <f>M174-G174</f>
        <v>0</v>
      </c>
      <c r="K174" s="176">
        <f>L174</f>
        <v>91761.579759999993</v>
      </c>
      <c r="L174" s="176">
        <v>91761.579759999993</v>
      </c>
      <c r="M174" s="176">
        <v>0</v>
      </c>
      <c r="N174" s="176">
        <f>O174</f>
        <v>14336.48302</v>
      </c>
      <c r="O174" s="176">
        <f>R174-L174</f>
        <v>14336.48302</v>
      </c>
      <c r="P174" s="176"/>
      <c r="Q174" s="175">
        <f>R174</f>
        <v>106098.06277999999</v>
      </c>
      <c r="R174" s="175">
        <v>106098.06277999999</v>
      </c>
      <c r="S174" s="175"/>
      <c r="T174" s="176">
        <f t="shared" si="508"/>
        <v>161745.72117999999</v>
      </c>
      <c r="U174" s="607">
        <f t="shared" si="509"/>
        <v>1.5244926904592819</v>
      </c>
      <c r="V174" s="176">
        <v>161745.72117999999</v>
      </c>
      <c r="W174" s="607">
        <f t="shared" si="510"/>
        <v>1.5244926904592819</v>
      </c>
      <c r="X174" s="176"/>
      <c r="Y174" s="607">
        <v>0</v>
      </c>
      <c r="Z174" s="176">
        <f>AB174</f>
        <v>-55647.6584</v>
      </c>
      <c r="AA174" s="607">
        <f t="shared" si="511"/>
        <v>-0.52449269045928193</v>
      </c>
      <c r="AB174" s="176">
        <f t="shared" si="512"/>
        <v>-55647.6584</v>
      </c>
      <c r="AC174" s="607">
        <f t="shared" si="513"/>
        <v>-0.52449269045928193</v>
      </c>
      <c r="AD174" s="176"/>
      <c r="AE174" s="176">
        <f>AF174</f>
        <v>0</v>
      </c>
      <c r="AF174" s="176"/>
      <c r="AG174" s="176"/>
      <c r="AH174" s="176">
        <f>AI174</f>
        <v>41966.764940000001</v>
      </c>
      <c r="AI174" s="176">
        <v>41966.764940000001</v>
      </c>
      <c r="AJ174" s="176"/>
      <c r="AK174" s="176">
        <f>AN174+AQ174</f>
        <v>23103.461240000001</v>
      </c>
      <c r="AL174" s="608">
        <f t="shared" si="472"/>
        <v>0.55051804143185878</v>
      </c>
      <c r="AM174" s="707">
        <f t="shared" si="502"/>
        <v>0.25177706509005726</v>
      </c>
      <c r="AN174" s="176">
        <v>23103.461240000001</v>
      </c>
      <c r="AO174" s="608">
        <f t="shared" si="474"/>
        <v>0.55051804143185878</v>
      </c>
      <c r="AP174" s="707">
        <f t="shared" si="503"/>
        <v>0.25177706509005726</v>
      </c>
      <c r="AQ174" s="176">
        <v>0</v>
      </c>
      <c r="AR174" s="608" t="e">
        <f t="shared" si="475"/>
        <v>#DIV/0!</v>
      </c>
      <c r="AS174" s="707">
        <v>0</v>
      </c>
      <c r="AT174" s="176">
        <f>AV174+AX174</f>
        <v>72163.768379999994</v>
      </c>
      <c r="AU174" s="584">
        <f t="shared" si="476"/>
        <v>0.78642683101950117</v>
      </c>
      <c r="AV174" s="176">
        <v>72163.768379999994</v>
      </c>
      <c r="AW174" s="373">
        <f t="shared" si="477"/>
        <v>0.78642683101950117</v>
      </c>
      <c r="AX174" s="176">
        <v>0</v>
      </c>
      <c r="AY174" s="373">
        <v>0</v>
      </c>
      <c r="AZ174" s="176">
        <f>BB174+BD174</f>
        <v>19597.811379999999</v>
      </c>
      <c r="BA174" s="262">
        <f t="shared" si="479"/>
        <v>0.21357316898049883</v>
      </c>
      <c r="BB174" s="176">
        <f>L174-AV174</f>
        <v>19597.811379999999</v>
      </c>
      <c r="BC174" s="262">
        <f t="shared" si="480"/>
        <v>0.21357316898049883</v>
      </c>
      <c r="BD174" s="176">
        <f>G174-AX174</f>
        <v>0</v>
      </c>
      <c r="BE174" s="375">
        <v>0</v>
      </c>
      <c r="BF174" s="176">
        <f>BH174</f>
        <v>72163.768379999994</v>
      </c>
      <c r="BG174" s="373">
        <f t="shared" si="494"/>
        <v>1</v>
      </c>
      <c r="BH174" s="176">
        <f>AV174</f>
        <v>72163.768379999994</v>
      </c>
      <c r="BI174" s="373">
        <f t="shared" si="495"/>
        <v>1</v>
      </c>
      <c r="BJ174" s="176">
        <f t="shared" ref="BJ174:BJ181" si="514">BJ175+BJ176</f>
        <v>0</v>
      </c>
      <c r="BK174" s="373">
        <v>0</v>
      </c>
      <c r="BL174" s="176">
        <f>BN174</f>
        <v>0</v>
      </c>
      <c r="BM174" s="374">
        <f t="shared" si="505"/>
        <v>0</v>
      </c>
      <c r="BN174" s="176">
        <f>AV174-BH174</f>
        <v>0</v>
      </c>
      <c r="BO174" s="374">
        <f t="shared" si="497"/>
        <v>0</v>
      </c>
      <c r="BP174" s="176">
        <f t="shared" ref="BP174:BP187" si="515">BP175+BP176</f>
        <v>0</v>
      </c>
      <c r="BQ174" s="374">
        <v>0</v>
      </c>
      <c r="BR174" s="176">
        <f t="shared" ref="BR174:BR187" si="516">BT174</f>
        <v>19597.811379999999</v>
      </c>
      <c r="BS174" s="147">
        <f t="shared" si="488"/>
        <v>0.21357316898049883</v>
      </c>
      <c r="BT174" s="176">
        <f t="shared" ref="BT174:BT175" si="517">L174-BH174</f>
        <v>19597.811379999999</v>
      </c>
      <c r="BU174" s="147">
        <f t="shared" si="489"/>
        <v>0.21357316898049883</v>
      </c>
      <c r="BV174" s="176">
        <f>M174-BJ174-BP174</f>
        <v>0</v>
      </c>
      <c r="BW174" s="147">
        <v>0</v>
      </c>
      <c r="BX174" s="303"/>
      <c r="BY174" s="271" t="e">
        <f t="shared" si="498"/>
        <v>#DIV/0!</v>
      </c>
      <c r="BZ174" s="176">
        <f>CB174</f>
        <v>0</v>
      </c>
      <c r="CA174" s="631">
        <f t="shared" si="507"/>
        <v>0</v>
      </c>
      <c r="CB174" s="176"/>
      <c r="CC174" s="631" t="e">
        <f>SUM(CB174/BV174)</f>
        <v>#DIV/0!</v>
      </c>
      <c r="CD174" s="176"/>
      <c r="CE174" s="631"/>
      <c r="CF174" s="176" t="s">
        <v>81</v>
      </c>
      <c r="CG174" s="176" t="s">
        <v>81</v>
      </c>
      <c r="CH174" s="176">
        <f>CI174</f>
        <v>0</v>
      </c>
      <c r="CI174" s="272"/>
      <c r="CJ174" s="176">
        <f>CK174</f>
        <v>0</v>
      </c>
      <c r="CK174" s="273"/>
    </row>
    <row r="175" spans="2:89" s="42" customFormat="1" ht="37.5" hidden="1" customHeight="1">
      <c r="B175" s="705"/>
      <c r="C175" s="266" t="s">
        <v>293</v>
      </c>
      <c r="D175" s="706"/>
      <c r="E175" s="175">
        <f>F175+G175</f>
        <v>35017.546999999999</v>
      </c>
      <c r="F175" s="175">
        <v>28599.492409999999</v>
      </c>
      <c r="G175" s="175">
        <v>6418.0545899999997</v>
      </c>
      <c r="H175" s="175">
        <f>I175+J175</f>
        <v>-25095.286820000001</v>
      </c>
      <c r="I175" s="175">
        <f>L175-F175</f>
        <v>-18677.232230000001</v>
      </c>
      <c r="J175" s="175">
        <f>M175-G175</f>
        <v>-6418.0545899999997</v>
      </c>
      <c r="K175" s="176">
        <f>L175+M175</f>
        <v>9922.2601799999993</v>
      </c>
      <c r="L175" s="176">
        <v>9922.2601799999993</v>
      </c>
      <c r="M175" s="176">
        <v>0</v>
      </c>
      <c r="N175" s="176">
        <f t="shared" ref="N175:N184" si="518">O175+P175</f>
        <v>455.48671000000104</v>
      </c>
      <c r="O175" s="176">
        <f>R175-L175</f>
        <v>455.48671000000104</v>
      </c>
      <c r="P175" s="176"/>
      <c r="Q175" s="175">
        <f>R175+S175</f>
        <v>10377.74689</v>
      </c>
      <c r="R175" s="175">
        <v>10377.74689</v>
      </c>
      <c r="S175" s="175">
        <v>0</v>
      </c>
      <c r="T175" s="176">
        <f t="shared" si="508"/>
        <v>9066.63861</v>
      </c>
      <c r="U175" s="607">
        <f t="shared" si="509"/>
        <v>0.87366156701476461</v>
      </c>
      <c r="V175" s="176">
        <v>9066.63861</v>
      </c>
      <c r="W175" s="607">
        <f t="shared" si="510"/>
        <v>0.87366156701476461</v>
      </c>
      <c r="X175" s="176"/>
      <c r="Y175" s="607">
        <v>0</v>
      </c>
      <c r="Z175" s="176">
        <f>AB175+AD175</f>
        <v>1311.1082800000004</v>
      </c>
      <c r="AA175" s="607">
        <f t="shared" si="511"/>
        <v>0.12633843298523542</v>
      </c>
      <c r="AB175" s="176">
        <f t="shared" si="512"/>
        <v>1311.1082800000004</v>
      </c>
      <c r="AC175" s="607">
        <f t="shared" si="513"/>
        <v>0.12633843298523542</v>
      </c>
      <c r="AD175" s="176"/>
      <c r="AE175" s="176">
        <f>AF175+AG175</f>
        <v>0</v>
      </c>
      <c r="AF175" s="176"/>
      <c r="AG175" s="176"/>
      <c r="AH175" s="176">
        <f>AI175+AJ175</f>
        <v>3281.8000999999999</v>
      </c>
      <c r="AI175" s="176">
        <v>3281.8000999999999</v>
      </c>
      <c r="AJ175" s="176"/>
      <c r="AK175" s="176">
        <f>AN175+AQ175</f>
        <v>1524.7473299999999</v>
      </c>
      <c r="AL175" s="608">
        <f t="shared" si="472"/>
        <v>0.46460700942753946</v>
      </c>
      <c r="AM175" s="707">
        <f t="shared" si="502"/>
        <v>0.15366935580598734</v>
      </c>
      <c r="AN175" s="176">
        <v>1524.7473299999999</v>
      </c>
      <c r="AO175" s="608">
        <f t="shared" si="474"/>
        <v>0.46460700942753946</v>
      </c>
      <c r="AP175" s="707">
        <f t="shared" si="503"/>
        <v>0.15366935580598734</v>
      </c>
      <c r="AQ175" s="176">
        <v>0</v>
      </c>
      <c r="AR175" s="608" t="e">
        <f t="shared" si="475"/>
        <v>#DIV/0!</v>
      </c>
      <c r="AS175" s="707">
        <v>0</v>
      </c>
      <c r="AT175" s="176">
        <f>AV175+AX175</f>
        <v>7075.4579700000004</v>
      </c>
      <c r="AU175" s="584">
        <f t="shared" si="476"/>
        <v>0.71308934069898589</v>
      </c>
      <c r="AV175" s="176">
        <v>7075.4579700000004</v>
      </c>
      <c r="AW175" s="373">
        <f t="shared" si="477"/>
        <v>0.71308934069898589</v>
      </c>
      <c r="AX175" s="176">
        <v>0</v>
      </c>
      <c r="AY175" s="373">
        <v>0</v>
      </c>
      <c r="AZ175" s="176">
        <f>BB175+BD175</f>
        <v>2846.8022099999989</v>
      </c>
      <c r="BA175" s="262">
        <f t="shared" si="479"/>
        <v>0.28691065930101411</v>
      </c>
      <c r="BB175" s="176">
        <f>L175-AV175</f>
        <v>2846.8022099999989</v>
      </c>
      <c r="BC175" s="262">
        <f t="shared" si="480"/>
        <v>0.28691065930101411</v>
      </c>
      <c r="BD175" s="176">
        <v>0</v>
      </c>
      <c r="BE175" s="375">
        <v>0</v>
      </c>
      <c r="BF175" s="176">
        <f>BH175+BJ175</f>
        <v>7075.4579700000004</v>
      </c>
      <c r="BG175" s="373">
        <f t="shared" si="494"/>
        <v>1</v>
      </c>
      <c r="BH175" s="176">
        <v>7075.4579700000004</v>
      </c>
      <c r="BI175" s="373">
        <f t="shared" si="495"/>
        <v>1</v>
      </c>
      <c r="BJ175" s="176">
        <f t="shared" si="514"/>
        <v>0</v>
      </c>
      <c r="BK175" s="373">
        <v>0</v>
      </c>
      <c r="BL175" s="176">
        <f>BN175+BP175</f>
        <v>0</v>
      </c>
      <c r="BM175" s="374">
        <f t="shared" si="505"/>
        <v>0</v>
      </c>
      <c r="BN175" s="176">
        <f>AV175-BH175</f>
        <v>0</v>
      </c>
      <c r="BO175" s="374">
        <f t="shared" si="497"/>
        <v>0</v>
      </c>
      <c r="BP175" s="176">
        <f t="shared" si="515"/>
        <v>0</v>
      </c>
      <c r="BQ175" s="374">
        <v>0</v>
      </c>
      <c r="BR175" s="176">
        <f t="shared" si="516"/>
        <v>2846.8022099999989</v>
      </c>
      <c r="BS175" s="147">
        <f t="shared" si="488"/>
        <v>0.28691065930101411</v>
      </c>
      <c r="BT175" s="176">
        <f t="shared" si="517"/>
        <v>2846.8022099999989</v>
      </c>
      <c r="BU175" s="147">
        <f t="shared" si="489"/>
        <v>0.28691065930101411</v>
      </c>
      <c r="BV175" s="176">
        <f>M175-BJ175-BP175</f>
        <v>0</v>
      </c>
      <c r="BW175" s="147">
        <v>0</v>
      </c>
      <c r="BX175" s="303"/>
      <c r="BY175" s="271" t="e">
        <f t="shared" si="498"/>
        <v>#DIV/0!</v>
      </c>
      <c r="BZ175" s="176">
        <f>CB175+CD175</f>
        <v>0</v>
      </c>
      <c r="CA175" s="631">
        <f t="shared" si="507"/>
        <v>0</v>
      </c>
      <c r="CB175" s="176"/>
      <c r="CC175" s="631"/>
      <c r="CD175" s="176"/>
      <c r="CE175" s="631" t="e">
        <f>SUM(CD175/#REF!)</f>
        <v>#REF!</v>
      </c>
      <c r="CF175" s="176" t="s">
        <v>81</v>
      </c>
      <c r="CG175" s="176" t="s">
        <v>81</v>
      </c>
      <c r="CH175" s="176">
        <f>CI175+CJ175</f>
        <v>0</v>
      </c>
      <c r="CI175" s="272"/>
      <c r="CJ175" s="176">
        <f>CK175+CL175</f>
        <v>0</v>
      </c>
      <c r="CK175" s="273"/>
    </row>
    <row r="176" spans="2:89" s="42" customFormat="1" ht="50.25" hidden="1" customHeight="1">
      <c r="B176" s="705" t="s">
        <v>301</v>
      </c>
      <c r="C176" s="708" t="s">
        <v>302</v>
      </c>
      <c r="D176" s="706"/>
      <c r="E176" s="175">
        <f>F176+G176</f>
        <v>7943.4059799999995</v>
      </c>
      <c r="F176" s="175">
        <f>F177+F178</f>
        <v>7943.4059799999995</v>
      </c>
      <c r="G176" s="175">
        <f>G177+G178</f>
        <v>0</v>
      </c>
      <c r="H176" s="175">
        <f>I176+J176</f>
        <v>-7943.4059799999995</v>
      </c>
      <c r="I176" s="175">
        <f>I177+I178</f>
        <v>-7943.4059799999995</v>
      </c>
      <c r="J176" s="175">
        <f>J177+J178</f>
        <v>0</v>
      </c>
      <c r="K176" s="176">
        <f>L176+M176</f>
        <v>0</v>
      </c>
      <c r="L176" s="176">
        <f>L177+L178</f>
        <v>0</v>
      </c>
      <c r="M176" s="176">
        <v>0</v>
      </c>
      <c r="N176" s="176">
        <f t="shared" si="518"/>
        <v>0</v>
      </c>
      <c r="O176" s="176"/>
      <c r="P176" s="176"/>
      <c r="Q176" s="175">
        <f>R176+S176</f>
        <v>0</v>
      </c>
      <c r="R176" s="175">
        <f>R177+R178</f>
        <v>0</v>
      </c>
      <c r="S176" s="175">
        <f>S177+S178</f>
        <v>0</v>
      </c>
      <c r="T176" s="176">
        <f t="shared" si="508"/>
        <v>0</v>
      </c>
      <c r="U176" s="607" t="e">
        <f t="shared" si="509"/>
        <v>#DIV/0!</v>
      </c>
      <c r="V176" s="176">
        <f>V177+V178</f>
        <v>0</v>
      </c>
      <c r="W176" s="607" t="e">
        <f t="shared" si="510"/>
        <v>#DIV/0!</v>
      </c>
      <c r="X176" s="176">
        <f>X177+X178</f>
        <v>0</v>
      </c>
      <c r="Y176" s="607">
        <v>0</v>
      </c>
      <c r="Z176" s="176">
        <f>AB176+AD176</f>
        <v>0</v>
      </c>
      <c r="AA176" s="607" t="e">
        <f t="shared" si="511"/>
        <v>#DIV/0!</v>
      </c>
      <c r="AB176" s="176">
        <f t="shared" si="512"/>
        <v>0</v>
      </c>
      <c r="AC176" s="607" t="e">
        <f t="shared" si="513"/>
        <v>#DIV/0!</v>
      </c>
      <c r="AD176" s="176">
        <f>AD177+AD178</f>
        <v>0</v>
      </c>
      <c r="AE176" s="176">
        <f>AF176+AG176</f>
        <v>0</v>
      </c>
      <c r="AF176" s="176">
        <f>AF177+AF178</f>
        <v>0</v>
      </c>
      <c r="AG176" s="176">
        <f>AG177+AG178</f>
        <v>0</v>
      </c>
      <c r="AH176" s="176">
        <f>AI176+AJ176</f>
        <v>0</v>
      </c>
      <c r="AI176" s="176">
        <f>AI177+AI178</f>
        <v>0</v>
      </c>
      <c r="AJ176" s="176">
        <f>AJ177+AJ178</f>
        <v>0</v>
      </c>
      <c r="AK176" s="176">
        <f>AK177+AK178</f>
        <v>0</v>
      </c>
      <c r="AL176" s="608" t="e">
        <f t="shared" si="472"/>
        <v>#DIV/0!</v>
      </c>
      <c r="AM176" s="707" t="e">
        <f t="shared" si="502"/>
        <v>#DIV/0!</v>
      </c>
      <c r="AN176" s="176">
        <f>AN177+AN178</f>
        <v>0</v>
      </c>
      <c r="AO176" s="608" t="e">
        <f t="shared" si="474"/>
        <v>#DIV/0!</v>
      </c>
      <c r="AP176" s="707" t="e">
        <f t="shared" si="503"/>
        <v>#DIV/0!</v>
      </c>
      <c r="AQ176" s="176">
        <v>0</v>
      </c>
      <c r="AR176" s="608" t="e">
        <f t="shared" si="475"/>
        <v>#DIV/0!</v>
      </c>
      <c r="AS176" s="707">
        <v>0</v>
      </c>
      <c r="AT176" s="176">
        <f>AT177+AT178</f>
        <v>0</v>
      </c>
      <c r="AU176" s="584" t="e">
        <f t="shared" si="476"/>
        <v>#DIV/0!</v>
      </c>
      <c r="AV176" s="176">
        <f>AV177+AV178</f>
        <v>0</v>
      </c>
      <c r="AW176" s="373" t="e">
        <f t="shared" si="477"/>
        <v>#DIV/0!</v>
      </c>
      <c r="AX176" s="176">
        <f>AX177+AX178</f>
        <v>0</v>
      </c>
      <c r="AY176" s="373">
        <v>0</v>
      </c>
      <c r="AZ176" s="176">
        <f>AZ177+AZ178</f>
        <v>0</v>
      </c>
      <c r="BA176" s="262" t="e">
        <f t="shared" si="479"/>
        <v>#DIV/0!</v>
      </c>
      <c r="BB176" s="176">
        <f>BB177+BB178</f>
        <v>0</v>
      </c>
      <c r="BC176" s="262" t="e">
        <f t="shared" si="480"/>
        <v>#DIV/0!</v>
      </c>
      <c r="BD176" s="176">
        <f>BD177+BD178</f>
        <v>0</v>
      </c>
      <c r="BE176" s="375">
        <v>0</v>
      </c>
      <c r="BF176" s="176">
        <f>BH176+BJ176</f>
        <v>0</v>
      </c>
      <c r="BG176" s="373" t="e">
        <f t="shared" si="494"/>
        <v>#DIV/0!</v>
      </c>
      <c r="BH176" s="176"/>
      <c r="BI176" s="373" t="e">
        <f t="shared" si="495"/>
        <v>#DIV/0!</v>
      </c>
      <c r="BJ176" s="176">
        <f t="shared" si="514"/>
        <v>0</v>
      </c>
      <c r="BK176" s="373">
        <v>0</v>
      </c>
      <c r="BL176" s="176">
        <f>BN176+BP176</f>
        <v>0</v>
      </c>
      <c r="BM176" s="374" t="e">
        <f t="shared" si="505"/>
        <v>#DIV/0!</v>
      </c>
      <c r="BN176" s="54">
        <f t="shared" ref="BN176:BN188" si="519">AV176-BH176</f>
        <v>0</v>
      </c>
      <c r="BO176" s="374" t="e">
        <f t="shared" si="497"/>
        <v>#DIV/0!</v>
      </c>
      <c r="BP176" s="176">
        <f t="shared" si="515"/>
        <v>0</v>
      </c>
      <c r="BQ176" s="374">
        <v>0</v>
      </c>
      <c r="BR176" s="176">
        <f t="shared" si="516"/>
        <v>0</v>
      </c>
      <c r="BS176" s="147" t="e">
        <f t="shared" si="488"/>
        <v>#DIV/0!</v>
      </c>
      <c r="BT176" s="176">
        <f>L176-BH176-BN176</f>
        <v>0</v>
      </c>
      <c r="BU176" s="147" t="e">
        <f t="shared" si="489"/>
        <v>#DIV/0!</v>
      </c>
      <c r="BV176" s="176">
        <f>M176-BJ176-BP176</f>
        <v>0</v>
      </c>
      <c r="BW176" s="147">
        <v>0</v>
      </c>
      <c r="BX176" s="303"/>
      <c r="BY176" s="271" t="e">
        <f t="shared" si="498"/>
        <v>#DIV/0!</v>
      </c>
      <c r="BZ176" s="176">
        <f>CB176+CD176</f>
        <v>0</v>
      </c>
      <c r="CA176" s="631" t="e">
        <f t="shared" si="507"/>
        <v>#DIV/0!</v>
      </c>
      <c r="CB176" s="176">
        <f>CB177+CB178</f>
        <v>0</v>
      </c>
      <c r="CC176" s="631" t="e">
        <f>SUM(CB176/BV176)</f>
        <v>#DIV/0!</v>
      </c>
      <c r="CD176" s="176">
        <f>CD177+CD178</f>
        <v>0</v>
      </c>
      <c r="CE176" s="631"/>
      <c r="CF176" s="176" t="s">
        <v>81</v>
      </c>
      <c r="CG176" s="176" t="s">
        <v>81</v>
      </c>
      <c r="CH176" s="176">
        <f>CI176+CJ176</f>
        <v>0</v>
      </c>
      <c r="CI176" s="272"/>
      <c r="CJ176" s="176">
        <f>CK176+CL176</f>
        <v>0</v>
      </c>
      <c r="CK176" s="273"/>
    </row>
    <row r="177" spans="2:89" s="42" customFormat="1" ht="18" hidden="1" customHeight="1">
      <c r="B177" s="705"/>
      <c r="C177" s="266" t="s">
        <v>244</v>
      </c>
      <c r="D177" s="706"/>
      <c r="E177" s="175">
        <f>F177+G177</f>
        <v>7748.5640199999998</v>
      </c>
      <c r="F177" s="175">
        <v>7748.5640199999998</v>
      </c>
      <c r="G177" s="175"/>
      <c r="H177" s="175">
        <f>I177+J177</f>
        <v>-7748.5640199999998</v>
      </c>
      <c r="I177" s="175">
        <f>L177-F177</f>
        <v>-7748.5640199999998</v>
      </c>
      <c r="J177" s="175">
        <f>M177-G177</f>
        <v>0</v>
      </c>
      <c r="K177" s="176">
        <f>L177+M177</f>
        <v>0</v>
      </c>
      <c r="L177" s="176">
        <v>0</v>
      </c>
      <c r="M177" s="176"/>
      <c r="N177" s="176">
        <f t="shared" si="518"/>
        <v>0</v>
      </c>
      <c r="O177" s="176"/>
      <c r="P177" s="176"/>
      <c r="Q177" s="175">
        <f>R177+S177</f>
        <v>0</v>
      </c>
      <c r="R177" s="175">
        <v>0</v>
      </c>
      <c r="S177" s="175"/>
      <c r="T177" s="176">
        <f t="shared" si="508"/>
        <v>0</v>
      </c>
      <c r="U177" s="607" t="e">
        <f t="shared" si="509"/>
        <v>#DIV/0!</v>
      </c>
      <c r="V177" s="176"/>
      <c r="W177" s="607" t="e">
        <f t="shared" si="510"/>
        <v>#DIV/0!</v>
      </c>
      <c r="X177" s="176"/>
      <c r="Y177" s="607">
        <v>0</v>
      </c>
      <c r="Z177" s="176">
        <f>AB177+AD177</f>
        <v>0</v>
      </c>
      <c r="AA177" s="607" t="e">
        <f t="shared" si="511"/>
        <v>#DIV/0!</v>
      </c>
      <c r="AB177" s="176">
        <f t="shared" si="512"/>
        <v>0</v>
      </c>
      <c r="AC177" s="607" t="e">
        <f t="shared" si="513"/>
        <v>#DIV/0!</v>
      </c>
      <c r="AD177" s="176"/>
      <c r="AE177" s="176">
        <f>AF177+AG177</f>
        <v>0</v>
      </c>
      <c r="AF177" s="176"/>
      <c r="AG177" s="176"/>
      <c r="AH177" s="176">
        <f>AI177+AJ177</f>
        <v>0</v>
      </c>
      <c r="AI177" s="176"/>
      <c r="AJ177" s="176"/>
      <c r="AK177" s="176">
        <f>AN177+AQ177</f>
        <v>0</v>
      </c>
      <c r="AL177" s="608" t="e">
        <f t="shared" si="472"/>
        <v>#DIV/0!</v>
      </c>
      <c r="AM177" s="707" t="e">
        <f t="shared" si="502"/>
        <v>#DIV/0!</v>
      </c>
      <c r="AN177" s="176"/>
      <c r="AO177" s="608" t="e">
        <f t="shared" si="474"/>
        <v>#DIV/0!</v>
      </c>
      <c r="AP177" s="707" t="e">
        <f t="shared" si="503"/>
        <v>#DIV/0!</v>
      </c>
      <c r="AQ177" s="176">
        <v>0</v>
      </c>
      <c r="AR177" s="608" t="e">
        <f t="shared" si="475"/>
        <v>#DIV/0!</v>
      </c>
      <c r="AS177" s="707">
        <v>0</v>
      </c>
      <c r="AT177" s="176">
        <f>AV177+AX177</f>
        <v>0</v>
      </c>
      <c r="AU177" s="584" t="e">
        <f t="shared" si="476"/>
        <v>#DIV/0!</v>
      </c>
      <c r="AV177" s="176"/>
      <c r="AW177" s="373" t="e">
        <f t="shared" si="477"/>
        <v>#DIV/0!</v>
      </c>
      <c r="AX177" s="176">
        <v>0</v>
      </c>
      <c r="AY177" s="373">
        <v>0</v>
      </c>
      <c r="AZ177" s="176">
        <f>BB177+BD177</f>
        <v>0</v>
      </c>
      <c r="BA177" s="262" t="e">
        <f t="shared" si="479"/>
        <v>#DIV/0!</v>
      </c>
      <c r="BB177" s="176">
        <f>L177-AV177</f>
        <v>0</v>
      </c>
      <c r="BC177" s="262" t="e">
        <f t="shared" si="480"/>
        <v>#DIV/0!</v>
      </c>
      <c r="BD177" s="176">
        <f>G177-AX177</f>
        <v>0</v>
      </c>
      <c r="BE177" s="375">
        <v>0</v>
      </c>
      <c r="BF177" s="176">
        <f>BH177+BJ177</f>
        <v>0</v>
      </c>
      <c r="BG177" s="373" t="e">
        <f t="shared" si="494"/>
        <v>#DIV/0!</v>
      </c>
      <c r="BH177" s="176"/>
      <c r="BI177" s="373" t="e">
        <f t="shared" si="495"/>
        <v>#DIV/0!</v>
      </c>
      <c r="BJ177" s="176">
        <f t="shared" si="514"/>
        <v>0</v>
      </c>
      <c r="BK177" s="373">
        <v>0</v>
      </c>
      <c r="BL177" s="176">
        <f>BN177+BP177</f>
        <v>0</v>
      </c>
      <c r="BM177" s="374" t="e">
        <f t="shared" si="505"/>
        <v>#DIV/0!</v>
      </c>
      <c r="BN177" s="54">
        <f t="shared" si="519"/>
        <v>0</v>
      </c>
      <c r="BO177" s="374" t="e">
        <f t="shared" si="497"/>
        <v>#DIV/0!</v>
      </c>
      <c r="BP177" s="176">
        <f t="shared" si="515"/>
        <v>0</v>
      </c>
      <c r="BQ177" s="374">
        <v>0</v>
      </c>
      <c r="BR177" s="176">
        <f t="shared" si="516"/>
        <v>0</v>
      </c>
      <c r="BS177" s="147" t="e">
        <f t="shared" si="488"/>
        <v>#DIV/0!</v>
      </c>
      <c r="BT177" s="176">
        <f>L177-BH177-BN177</f>
        <v>0</v>
      </c>
      <c r="BU177" s="147" t="e">
        <f t="shared" si="489"/>
        <v>#DIV/0!</v>
      </c>
      <c r="BV177" s="176">
        <f>M177-BJ177-BP177</f>
        <v>0</v>
      </c>
      <c r="BW177" s="147">
        <v>0</v>
      </c>
      <c r="BX177" s="303"/>
      <c r="BY177" s="271" t="e">
        <f t="shared" si="498"/>
        <v>#DIV/0!</v>
      </c>
      <c r="BZ177" s="176">
        <f>CB177+CD177</f>
        <v>0</v>
      </c>
      <c r="CA177" s="631" t="e">
        <f t="shared" si="507"/>
        <v>#DIV/0!</v>
      </c>
      <c r="CB177" s="176"/>
      <c r="CC177" s="631" t="e">
        <f>SUM(CB177/BV177)</f>
        <v>#DIV/0!</v>
      </c>
      <c r="CD177" s="176"/>
      <c r="CE177" s="631" t="e">
        <f>SUM(CD177/#REF!)</f>
        <v>#REF!</v>
      </c>
      <c r="CF177" s="176" t="s">
        <v>81</v>
      </c>
      <c r="CG177" s="176" t="s">
        <v>81</v>
      </c>
      <c r="CH177" s="176">
        <f>CI177+CJ177</f>
        <v>0</v>
      </c>
      <c r="CI177" s="272"/>
      <c r="CJ177" s="176">
        <f>CK177+CL177</f>
        <v>0</v>
      </c>
      <c r="CK177" s="273"/>
    </row>
    <row r="178" spans="2:89" s="42" customFormat="1" ht="21" hidden="1" customHeight="1">
      <c r="B178" s="705"/>
      <c r="C178" s="266" t="s">
        <v>293</v>
      </c>
      <c r="D178" s="706"/>
      <c r="E178" s="175">
        <f>F178+G178</f>
        <v>194.84196</v>
      </c>
      <c r="F178" s="175">
        <v>194.84196</v>
      </c>
      <c r="G178" s="175"/>
      <c r="H178" s="175">
        <f>I178+J178</f>
        <v>-194.84196</v>
      </c>
      <c r="I178" s="175">
        <f>L178-F178</f>
        <v>-194.84196</v>
      </c>
      <c r="J178" s="175">
        <f>M178-G178</f>
        <v>0</v>
      </c>
      <c r="K178" s="176">
        <f>L178+M178</f>
        <v>0</v>
      </c>
      <c r="L178" s="176">
        <v>0</v>
      </c>
      <c r="M178" s="176"/>
      <c r="N178" s="176">
        <f t="shared" si="518"/>
        <v>0</v>
      </c>
      <c r="O178" s="176"/>
      <c r="P178" s="176"/>
      <c r="Q178" s="175">
        <f>R178+S178</f>
        <v>0</v>
      </c>
      <c r="R178" s="175">
        <v>0</v>
      </c>
      <c r="S178" s="175"/>
      <c r="T178" s="176">
        <f t="shared" si="508"/>
        <v>0</v>
      </c>
      <c r="U178" s="607" t="e">
        <f t="shared" si="509"/>
        <v>#DIV/0!</v>
      </c>
      <c r="V178" s="176"/>
      <c r="W178" s="607" t="e">
        <f t="shared" si="510"/>
        <v>#DIV/0!</v>
      </c>
      <c r="X178" s="176"/>
      <c r="Y178" s="607">
        <v>0</v>
      </c>
      <c r="Z178" s="176">
        <f>AB178+AD178</f>
        <v>0</v>
      </c>
      <c r="AA178" s="607" t="e">
        <f t="shared" si="511"/>
        <v>#DIV/0!</v>
      </c>
      <c r="AB178" s="176">
        <f t="shared" si="512"/>
        <v>0</v>
      </c>
      <c r="AC178" s="607" t="e">
        <f t="shared" si="513"/>
        <v>#DIV/0!</v>
      </c>
      <c r="AD178" s="176"/>
      <c r="AE178" s="176">
        <f>AF178+AG178</f>
        <v>0</v>
      </c>
      <c r="AF178" s="176"/>
      <c r="AG178" s="176"/>
      <c r="AH178" s="176">
        <f>AI178+AJ178</f>
        <v>0</v>
      </c>
      <c r="AI178" s="176"/>
      <c r="AJ178" s="176"/>
      <c r="AK178" s="176">
        <f>AN178+AQ178</f>
        <v>0</v>
      </c>
      <c r="AL178" s="608" t="e">
        <f t="shared" si="472"/>
        <v>#DIV/0!</v>
      </c>
      <c r="AM178" s="707" t="e">
        <f t="shared" si="502"/>
        <v>#DIV/0!</v>
      </c>
      <c r="AN178" s="176"/>
      <c r="AO178" s="608" t="e">
        <f t="shared" si="474"/>
        <v>#DIV/0!</v>
      </c>
      <c r="AP178" s="707" t="e">
        <f t="shared" si="503"/>
        <v>#DIV/0!</v>
      </c>
      <c r="AQ178" s="176">
        <v>0</v>
      </c>
      <c r="AR178" s="608" t="e">
        <f t="shared" si="475"/>
        <v>#DIV/0!</v>
      </c>
      <c r="AS178" s="707">
        <v>0</v>
      </c>
      <c r="AT178" s="176">
        <f>AV178+AX178</f>
        <v>0</v>
      </c>
      <c r="AU178" s="584" t="e">
        <f t="shared" si="476"/>
        <v>#DIV/0!</v>
      </c>
      <c r="AV178" s="176"/>
      <c r="AW178" s="373" t="e">
        <f t="shared" si="477"/>
        <v>#DIV/0!</v>
      </c>
      <c r="AX178" s="176">
        <v>0</v>
      </c>
      <c r="AY178" s="373">
        <v>0</v>
      </c>
      <c r="AZ178" s="176">
        <f>BB178+BD178</f>
        <v>0</v>
      </c>
      <c r="BA178" s="262" t="e">
        <f t="shared" si="479"/>
        <v>#DIV/0!</v>
      </c>
      <c r="BB178" s="176">
        <f>L178-AV178</f>
        <v>0</v>
      </c>
      <c r="BC178" s="262" t="e">
        <f t="shared" si="480"/>
        <v>#DIV/0!</v>
      </c>
      <c r="BD178" s="176">
        <f>G178-AX178</f>
        <v>0</v>
      </c>
      <c r="BE178" s="375">
        <v>0</v>
      </c>
      <c r="BF178" s="176">
        <f>BH178+BJ178</f>
        <v>0</v>
      </c>
      <c r="BG178" s="373" t="e">
        <f t="shared" si="494"/>
        <v>#DIV/0!</v>
      </c>
      <c r="BH178" s="176"/>
      <c r="BI178" s="373" t="e">
        <f t="shared" si="495"/>
        <v>#DIV/0!</v>
      </c>
      <c r="BJ178" s="176">
        <f t="shared" si="514"/>
        <v>0</v>
      </c>
      <c r="BK178" s="373">
        <v>0</v>
      </c>
      <c r="BL178" s="176">
        <f>BN178+BP178</f>
        <v>0</v>
      </c>
      <c r="BM178" s="374" t="e">
        <f t="shared" si="505"/>
        <v>#DIV/0!</v>
      </c>
      <c r="BN178" s="54">
        <f t="shared" si="519"/>
        <v>0</v>
      </c>
      <c r="BO178" s="374" t="e">
        <f t="shared" si="497"/>
        <v>#DIV/0!</v>
      </c>
      <c r="BP178" s="176">
        <f t="shared" si="515"/>
        <v>0</v>
      </c>
      <c r="BQ178" s="374">
        <v>0</v>
      </c>
      <c r="BR178" s="176">
        <f t="shared" si="516"/>
        <v>0</v>
      </c>
      <c r="BS178" s="147" t="e">
        <f t="shared" si="488"/>
        <v>#DIV/0!</v>
      </c>
      <c r="BT178" s="176">
        <f>L178-BH178-BN178</f>
        <v>0</v>
      </c>
      <c r="BU178" s="147" t="e">
        <f t="shared" si="489"/>
        <v>#DIV/0!</v>
      </c>
      <c r="BV178" s="176">
        <f>M178-BJ178-BP178</f>
        <v>0</v>
      </c>
      <c r="BW178" s="147">
        <v>0</v>
      </c>
      <c r="BX178" s="303"/>
      <c r="BY178" s="271" t="e">
        <f t="shared" si="498"/>
        <v>#DIV/0!</v>
      </c>
      <c r="BZ178" s="176">
        <f>CB178+CD178</f>
        <v>0</v>
      </c>
      <c r="CA178" s="631" t="e">
        <f t="shared" si="507"/>
        <v>#DIV/0!</v>
      </c>
      <c r="CB178" s="176"/>
      <c r="CC178" s="631" t="e">
        <f>SUM(CB178/BV178)</f>
        <v>#DIV/0!</v>
      </c>
      <c r="CD178" s="176"/>
      <c r="CE178" s="631" t="e">
        <f>SUM(CD178/#REF!)</f>
        <v>#REF!</v>
      </c>
      <c r="CF178" s="176" t="s">
        <v>81</v>
      </c>
      <c r="CG178" s="176" t="s">
        <v>81</v>
      </c>
      <c r="CH178" s="176">
        <f>CI178+CJ178</f>
        <v>0</v>
      </c>
      <c r="CI178" s="272"/>
      <c r="CJ178" s="176">
        <f>CK178+CL178</f>
        <v>0</v>
      </c>
      <c r="CK178" s="273"/>
    </row>
    <row r="179" spans="2:89" s="42" customFormat="1" ht="57.75" hidden="1" customHeight="1">
      <c r="B179" s="705" t="s">
        <v>301</v>
      </c>
      <c r="C179" s="708" t="s">
        <v>303</v>
      </c>
      <c r="D179" s="706"/>
      <c r="E179" s="175">
        <f>F179</f>
        <v>4949.7397099999998</v>
      </c>
      <c r="F179" s="175">
        <f>F180</f>
        <v>4949.7397099999998</v>
      </c>
      <c r="G179" s="175"/>
      <c r="H179" s="175">
        <f>I179</f>
        <v>-4949.7397099999998</v>
      </c>
      <c r="I179" s="175">
        <f>I180</f>
        <v>-4949.7397099999998</v>
      </c>
      <c r="J179" s="175"/>
      <c r="K179" s="176">
        <f>K180+K181</f>
        <v>18280.542730000001</v>
      </c>
      <c r="L179" s="176">
        <f>L181</f>
        <v>18280.542730000001</v>
      </c>
      <c r="M179" s="176">
        <v>0</v>
      </c>
      <c r="N179" s="176">
        <f t="shared" si="518"/>
        <v>130.01812000000064</v>
      </c>
      <c r="O179" s="176">
        <f>R179-K179</f>
        <v>130.01812000000064</v>
      </c>
      <c r="P179" s="176">
        <f>P180+P181</f>
        <v>0</v>
      </c>
      <c r="Q179" s="175">
        <f>Q181</f>
        <v>18410.560850000002</v>
      </c>
      <c r="R179" s="175">
        <f>R181</f>
        <v>18410.560850000002</v>
      </c>
      <c r="S179" s="175"/>
      <c r="T179" s="176">
        <f t="shared" si="508"/>
        <v>34889.434880000001</v>
      </c>
      <c r="U179" s="607">
        <f t="shared" si="509"/>
        <v>1.8950772420385009</v>
      </c>
      <c r="V179" s="176">
        <f>V181</f>
        <v>34889.434880000001</v>
      </c>
      <c r="W179" s="607">
        <f t="shared" si="510"/>
        <v>1.8950772420385009</v>
      </c>
      <c r="X179" s="176">
        <f>X180</f>
        <v>0</v>
      </c>
      <c r="Y179" s="607">
        <v>0</v>
      </c>
      <c r="Z179" s="176">
        <f>AB179</f>
        <v>-16478.874029999999</v>
      </c>
      <c r="AA179" s="607">
        <f t="shared" si="511"/>
        <v>-0.89507724203850081</v>
      </c>
      <c r="AB179" s="176">
        <f t="shared" si="512"/>
        <v>-16478.874029999999</v>
      </c>
      <c r="AC179" s="607">
        <f t="shared" si="513"/>
        <v>-0.89507724203850081</v>
      </c>
      <c r="AD179" s="176"/>
      <c r="AE179" s="176">
        <f>AF179</f>
        <v>0</v>
      </c>
      <c r="AF179" s="176">
        <f>AF180</f>
        <v>0</v>
      </c>
      <c r="AG179" s="176"/>
      <c r="AH179" s="176">
        <f>AH180+AH181</f>
        <v>2274.6972000000001</v>
      </c>
      <c r="AI179" s="176">
        <f>AI180+AI181</f>
        <v>2274.6972000000001</v>
      </c>
      <c r="AJ179" s="176"/>
      <c r="AK179" s="176">
        <f>AK181</f>
        <v>6821.6858899999997</v>
      </c>
      <c r="AL179" s="608">
        <f t="shared" si="472"/>
        <v>2.9989424042901183</v>
      </c>
      <c r="AM179" s="707">
        <f t="shared" si="502"/>
        <v>0.3731664858508279</v>
      </c>
      <c r="AN179" s="176">
        <f>AN181</f>
        <v>6821.6858899999997</v>
      </c>
      <c r="AO179" s="608">
        <f t="shared" si="474"/>
        <v>2.9989424042901183</v>
      </c>
      <c r="AP179" s="707">
        <f t="shared" si="503"/>
        <v>0.3731664858508279</v>
      </c>
      <c r="AQ179" s="176">
        <v>0</v>
      </c>
      <c r="AR179" s="608" t="e">
        <f t="shared" si="475"/>
        <v>#DIV/0!</v>
      </c>
      <c r="AS179" s="707">
        <v>0</v>
      </c>
      <c r="AT179" s="176">
        <f>AT180+AT181</f>
        <v>17417.784729999999</v>
      </c>
      <c r="AU179" s="584">
        <f t="shared" si="476"/>
        <v>0.95280457409045416</v>
      </c>
      <c r="AV179" s="176">
        <f>AV180+AV181</f>
        <v>17417.784729999999</v>
      </c>
      <c r="AW179" s="373">
        <f t="shared" si="477"/>
        <v>0.95280457409045416</v>
      </c>
      <c r="AX179" s="176">
        <f>AX180</f>
        <v>0</v>
      </c>
      <c r="AY179" s="373">
        <v>0</v>
      </c>
      <c r="AZ179" s="176">
        <f>AZ181</f>
        <v>862.75800000000163</v>
      </c>
      <c r="BA179" s="262">
        <f t="shared" si="479"/>
        <v>4.7195425909545827E-2</v>
      </c>
      <c r="BB179" s="176">
        <f>BB180</f>
        <v>0</v>
      </c>
      <c r="BC179" s="262">
        <f t="shared" si="480"/>
        <v>0</v>
      </c>
      <c r="BD179" s="176">
        <f>BD180</f>
        <v>0</v>
      </c>
      <c r="BE179" s="375">
        <v>0</v>
      </c>
      <c r="BF179" s="176">
        <f>BF180+BF181</f>
        <v>17417.784729999999</v>
      </c>
      <c r="BG179" s="373">
        <f t="shared" si="494"/>
        <v>1</v>
      </c>
      <c r="BH179" s="176">
        <f>BH181</f>
        <v>17417.784729999999</v>
      </c>
      <c r="BI179" s="373">
        <f t="shared" si="495"/>
        <v>1</v>
      </c>
      <c r="BJ179" s="176">
        <f t="shared" si="514"/>
        <v>0</v>
      </c>
      <c r="BK179" s="373">
        <v>0</v>
      </c>
      <c r="BL179" s="176">
        <f>BN179</f>
        <v>0</v>
      </c>
      <c r="BM179" s="374">
        <f t="shared" si="505"/>
        <v>0</v>
      </c>
      <c r="BN179" s="54">
        <f>BN181</f>
        <v>0</v>
      </c>
      <c r="BO179" s="374">
        <f t="shared" si="497"/>
        <v>0</v>
      </c>
      <c r="BP179" s="176">
        <f t="shared" si="515"/>
        <v>0</v>
      </c>
      <c r="BQ179" s="374">
        <v>0</v>
      </c>
      <c r="BR179" s="176">
        <f t="shared" si="516"/>
        <v>862.75800000000163</v>
      </c>
      <c r="BS179" s="147">
        <f t="shared" si="488"/>
        <v>4.7195425909545827E-2</v>
      </c>
      <c r="BT179" s="176">
        <f>BT180+BT181</f>
        <v>862.75800000000163</v>
      </c>
      <c r="BU179" s="147">
        <f t="shared" si="489"/>
        <v>4.7195425909545827E-2</v>
      </c>
      <c r="BV179" s="176">
        <v>0</v>
      </c>
      <c r="BW179" s="147">
        <v>0</v>
      </c>
      <c r="BX179" s="303"/>
      <c r="BY179" s="271" t="e">
        <f t="shared" si="498"/>
        <v>#DIV/0!</v>
      </c>
      <c r="BZ179" s="176">
        <f>CB179</f>
        <v>0</v>
      </c>
      <c r="CA179" s="631"/>
      <c r="CB179" s="176">
        <f>CB180</f>
        <v>0</v>
      </c>
      <c r="CC179" s="631"/>
      <c r="CD179" s="176"/>
      <c r="CE179" s="631"/>
      <c r="CF179" s="176" t="s">
        <v>81</v>
      </c>
      <c r="CG179" s="176" t="s">
        <v>81</v>
      </c>
      <c r="CH179" s="176">
        <f>CI179</f>
        <v>0</v>
      </c>
      <c r="CI179" s="272"/>
      <c r="CJ179" s="176">
        <f>CK179</f>
        <v>0</v>
      </c>
      <c r="CK179" s="273"/>
    </row>
    <row r="180" spans="2:89" s="42" customFormat="1" ht="18" hidden="1" customHeight="1">
      <c r="B180" s="705"/>
      <c r="C180" s="266" t="s">
        <v>291</v>
      </c>
      <c r="D180" s="706"/>
      <c r="E180" s="175">
        <f>F180+G180</f>
        <v>4949.7397099999998</v>
      </c>
      <c r="F180" s="175">
        <v>4949.7397099999998</v>
      </c>
      <c r="G180" s="175"/>
      <c r="H180" s="175">
        <f>I180+J180</f>
        <v>-4949.7397099999998</v>
      </c>
      <c r="I180" s="175">
        <f>L180-F180</f>
        <v>-4949.7397099999998</v>
      </c>
      <c r="J180" s="175">
        <f>M180-G180</f>
        <v>0</v>
      </c>
      <c r="K180" s="176">
        <f t="shared" ref="K180:K205" si="520">L180+M180</f>
        <v>0</v>
      </c>
      <c r="L180" s="176">
        <f>R180</f>
        <v>0</v>
      </c>
      <c r="M180" s="176">
        <v>0</v>
      </c>
      <c r="N180" s="176">
        <f t="shared" si="518"/>
        <v>0</v>
      </c>
      <c r="O180" s="176">
        <f t="shared" ref="O180:O182" si="521">R180-K180</f>
        <v>0</v>
      </c>
      <c r="P180" s="176"/>
      <c r="Q180" s="175">
        <f>R180+S180</f>
        <v>0</v>
      </c>
      <c r="R180" s="175">
        <v>0</v>
      </c>
      <c r="S180" s="175"/>
      <c r="T180" s="176">
        <f t="shared" si="508"/>
        <v>0</v>
      </c>
      <c r="U180" s="607" t="e">
        <f t="shared" si="509"/>
        <v>#DIV/0!</v>
      </c>
      <c r="V180" s="176"/>
      <c r="W180" s="607" t="e">
        <f t="shared" si="510"/>
        <v>#DIV/0!</v>
      </c>
      <c r="X180" s="176"/>
      <c r="Y180" s="607">
        <v>0</v>
      </c>
      <c r="Z180" s="176">
        <f>AB180+AD180</f>
        <v>0</v>
      </c>
      <c r="AA180" s="607" t="e">
        <f t="shared" si="511"/>
        <v>#DIV/0!</v>
      </c>
      <c r="AB180" s="176">
        <f t="shared" si="512"/>
        <v>0</v>
      </c>
      <c r="AC180" s="607" t="e">
        <f t="shared" si="513"/>
        <v>#DIV/0!</v>
      </c>
      <c r="AD180" s="176"/>
      <c r="AE180" s="176">
        <f>AF180+AG180</f>
        <v>0</v>
      </c>
      <c r="AF180" s="176"/>
      <c r="AG180" s="176"/>
      <c r="AH180" s="176">
        <f>AI180+AJ180</f>
        <v>0</v>
      </c>
      <c r="AI180" s="176"/>
      <c r="AJ180" s="176"/>
      <c r="AK180" s="176">
        <f t="shared" ref="AK180:AK187" si="522">AN180+AQ180</f>
        <v>0</v>
      </c>
      <c r="AL180" s="608" t="e">
        <f t="shared" si="472"/>
        <v>#DIV/0!</v>
      </c>
      <c r="AM180" s="707">
        <v>0</v>
      </c>
      <c r="AN180" s="176">
        <v>0</v>
      </c>
      <c r="AO180" s="608" t="e">
        <f t="shared" si="474"/>
        <v>#DIV/0!</v>
      </c>
      <c r="AP180" s="707">
        <v>0</v>
      </c>
      <c r="AQ180" s="176">
        <v>0</v>
      </c>
      <c r="AR180" s="608" t="e">
        <f t="shared" si="475"/>
        <v>#DIV/0!</v>
      </c>
      <c r="AS180" s="707">
        <v>0</v>
      </c>
      <c r="AT180" s="176">
        <f t="shared" ref="AT180:AT187" si="523">AV180+AX180</f>
        <v>0</v>
      </c>
      <c r="AU180" s="584">
        <v>0</v>
      </c>
      <c r="AV180" s="176">
        <f>L180</f>
        <v>0</v>
      </c>
      <c r="AW180" s="373">
        <v>0</v>
      </c>
      <c r="AX180" s="176">
        <v>0</v>
      </c>
      <c r="AY180" s="373">
        <v>0</v>
      </c>
      <c r="AZ180" s="176">
        <f t="shared" ref="AZ180:AZ187" si="524">BB180+BD180</f>
        <v>0</v>
      </c>
      <c r="BA180" s="262" t="e">
        <f t="shared" si="479"/>
        <v>#DIV/0!</v>
      </c>
      <c r="BB180" s="176">
        <f>L180-AV180</f>
        <v>0</v>
      </c>
      <c r="BC180" s="262" t="e">
        <f t="shared" si="480"/>
        <v>#DIV/0!</v>
      </c>
      <c r="BD180" s="176">
        <f>G180-AX180</f>
        <v>0</v>
      </c>
      <c r="BE180" s="375">
        <v>0</v>
      </c>
      <c r="BF180" s="176">
        <f>BH180+BJ180</f>
        <v>0</v>
      </c>
      <c r="BG180" s="373" t="e">
        <f t="shared" si="494"/>
        <v>#DIV/0!</v>
      </c>
      <c r="BH180" s="176"/>
      <c r="BI180" s="373" t="e">
        <f t="shared" si="495"/>
        <v>#DIV/0!</v>
      </c>
      <c r="BJ180" s="176">
        <f t="shared" si="514"/>
        <v>0</v>
      </c>
      <c r="BK180" s="373">
        <v>0</v>
      </c>
      <c r="BL180" s="176"/>
      <c r="BM180" s="374">
        <v>0</v>
      </c>
      <c r="BN180" s="176">
        <f>L180-AV180</f>
        <v>0</v>
      </c>
      <c r="BO180" s="374">
        <v>0</v>
      </c>
      <c r="BP180" s="176">
        <f t="shared" si="515"/>
        <v>0</v>
      </c>
      <c r="BQ180" s="374">
        <v>0</v>
      </c>
      <c r="BR180" s="176">
        <f t="shared" si="516"/>
        <v>0</v>
      </c>
      <c r="BS180" s="147">
        <v>0</v>
      </c>
      <c r="BT180" s="176">
        <f t="shared" ref="BT180:BT181" si="525">L180-BH180</f>
        <v>0</v>
      </c>
      <c r="BU180" s="147">
        <v>0</v>
      </c>
      <c r="BV180" s="176">
        <v>0</v>
      </c>
      <c r="BW180" s="147">
        <v>0</v>
      </c>
      <c r="BX180" s="303"/>
      <c r="BY180" s="271" t="e">
        <f t="shared" si="498"/>
        <v>#DIV/0!</v>
      </c>
      <c r="BZ180" s="176">
        <f>CB180+CD180</f>
        <v>0</v>
      </c>
      <c r="CA180" s="631"/>
      <c r="CB180" s="176"/>
      <c r="CC180" s="631"/>
      <c r="CD180" s="176"/>
      <c r="CE180" s="631"/>
      <c r="CF180" s="176" t="s">
        <v>81</v>
      </c>
      <c r="CG180" s="176" t="s">
        <v>81</v>
      </c>
      <c r="CH180" s="176">
        <f>CI180+CJ180</f>
        <v>0</v>
      </c>
      <c r="CI180" s="272"/>
      <c r="CJ180" s="176">
        <f>CK180+CL180</f>
        <v>0</v>
      </c>
      <c r="CK180" s="273"/>
    </row>
    <row r="181" spans="2:89" s="42" customFormat="1" ht="15.75" hidden="1" customHeight="1">
      <c r="B181" s="705"/>
      <c r="C181" s="266" t="s">
        <v>293</v>
      </c>
      <c r="D181" s="706"/>
      <c r="E181" s="175">
        <f>F181+G181</f>
        <v>0</v>
      </c>
      <c r="F181" s="175">
        <v>0</v>
      </c>
      <c r="G181" s="175"/>
      <c r="H181" s="175">
        <f>I181+J181</f>
        <v>18280.542730000001</v>
      </c>
      <c r="I181" s="175">
        <f>L181-F181</f>
        <v>18280.542730000001</v>
      </c>
      <c r="J181" s="175">
        <f>M181-G181</f>
        <v>0</v>
      </c>
      <c r="K181" s="176">
        <f t="shared" si="520"/>
        <v>18280.542730000001</v>
      </c>
      <c r="L181" s="176">
        <v>18280.542730000001</v>
      </c>
      <c r="M181" s="176">
        <v>0</v>
      </c>
      <c r="N181" s="176">
        <f t="shared" si="518"/>
        <v>130.01812000000064</v>
      </c>
      <c r="O181" s="176">
        <f t="shared" si="521"/>
        <v>130.01812000000064</v>
      </c>
      <c r="P181" s="176"/>
      <c r="Q181" s="175">
        <f>R181+S181</f>
        <v>18410.560850000002</v>
      </c>
      <c r="R181" s="175">
        <v>18410.560850000002</v>
      </c>
      <c r="S181" s="175"/>
      <c r="T181" s="176">
        <f t="shared" si="508"/>
        <v>34889.434880000001</v>
      </c>
      <c r="U181" s="607">
        <f t="shared" si="509"/>
        <v>1.8950772420385009</v>
      </c>
      <c r="V181" s="176">
        <v>34889.434880000001</v>
      </c>
      <c r="W181" s="607">
        <f t="shared" si="510"/>
        <v>1.8950772420385009</v>
      </c>
      <c r="X181" s="176"/>
      <c r="Y181" s="607">
        <v>0</v>
      </c>
      <c r="Z181" s="176">
        <f>AB181+AD181</f>
        <v>-16478.874029999999</v>
      </c>
      <c r="AA181" s="607">
        <f t="shared" si="511"/>
        <v>-0.89507724203850081</v>
      </c>
      <c r="AB181" s="176">
        <f t="shared" si="512"/>
        <v>-16478.874029999999</v>
      </c>
      <c r="AC181" s="607">
        <f t="shared" si="513"/>
        <v>-0.89507724203850081</v>
      </c>
      <c r="AD181" s="176"/>
      <c r="AE181" s="176">
        <f>AF181+AG181</f>
        <v>0</v>
      </c>
      <c r="AF181" s="176"/>
      <c r="AG181" s="176"/>
      <c r="AH181" s="176">
        <f>AI181+AJ181</f>
        <v>2274.6972000000001</v>
      </c>
      <c r="AI181" s="176">
        <v>2274.6972000000001</v>
      </c>
      <c r="AJ181" s="176"/>
      <c r="AK181" s="176">
        <f t="shared" si="522"/>
        <v>6821.6858899999997</v>
      </c>
      <c r="AL181" s="608">
        <f t="shared" si="472"/>
        <v>2.9989424042901183</v>
      </c>
      <c r="AM181" s="707">
        <f t="shared" si="502"/>
        <v>0.3731664858508279</v>
      </c>
      <c r="AN181" s="176">
        <v>6821.6858899999997</v>
      </c>
      <c r="AO181" s="608">
        <f t="shared" si="474"/>
        <v>2.9989424042901183</v>
      </c>
      <c r="AP181" s="707">
        <f t="shared" si="503"/>
        <v>0.3731664858508279</v>
      </c>
      <c r="AQ181" s="176">
        <v>0</v>
      </c>
      <c r="AR181" s="608" t="e">
        <f t="shared" si="475"/>
        <v>#DIV/0!</v>
      </c>
      <c r="AS181" s="707">
        <v>0</v>
      </c>
      <c r="AT181" s="176">
        <f t="shared" si="523"/>
        <v>17417.784729999999</v>
      </c>
      <c r="AU181" s="584">
        <f t="shared" ref="AU181:AU210" si="526">AT181/K181</f>
        <v>0.95280457409045416</v>
      </c>
      <c r="AV181" s="176">
        <v>17417.784729999999</v>
      </c>
      <c r="AW181" s="373">
        <f t="shared" ref="AW181:AW209" si="527">AV181/L181</f>
        <v>0.95280457409045416</v>
      </c>
      <c r="AX181" s="176">
        <v>0</v>
      </c>
      <c r="AY181" s="373">
        <v>0</v>
      </c>
      <c r="AZ181" s="176">
        <f t="shared" si="524"/>
        <v>862.75800000000163</v>
      </c>
      <c r="BA181" s="262">
        <f t="shared" si="479"/>
        <v>4.7195425909545827E-2</v>
      </c>
      <c r="BB181" s="176">
        <f>L181-AV181</f>
        <v>862.75800000000163</v>
      </c>
      <c r="BC181" s="262">
        <f t="shared" si="480"/>
        <v>4.7195425909545827E-2</v>
      </c>
      <c r="BD181" s="176">
        <f>G181-AX181</f>
        <v>0</v>
      </c>
      <c r="BE181" s="375">
        <v>0</v>
      </c>
      <c r="BF181" s="176">
        <f>BH181+BJ181</f>
        <v>17417.784729999999</v>
      </c>
      <c r="BG181" s="373">
        <f t="shared" si="494"/>
        <v>1</v>
      </c>
      <c r="BH181" s="176">
        <v>17417.784729999999</v>
      </c>
      <c r="BI181" s="373">
        <f t="shared" si="495"/>
        <v>1</v>
      </c>
      <c r="BJ181" s="176">
        <f t="shared" si="514"/>
        <v>0</v>
      </c>
      <c r="BK181" s="373">
        <v>0</v>
      </c>
      <c r="BL181" s="176">
        <f>BN181+BP181</f>
        <v>0</v>
      </c>
      <c r="BM181" s="374">
        <f t="shared" si="505"/>
        <v>0</v>
      </c>
      <c r="BN181" s="176">
        <f>AV181-BH181</f>
        <v>0</v>
      </c>
      <c r="BO181" s="374">
        <f t="shared" si="497"/>
        <v>0</v>
      </c>
      <c r="BP181" s="176">
        <f t="shared" si="515"/>
        <v>0</v>
      </c>
      <c r="BQ181" s="374">
        <v>0</v>
      </c>
      <c r="BR181" s="176">
        <f t="shared" si="516"/>
        <v>862.75800000000163</v>
      </c>
      <c r="BS181" s="147">
        <f t="shared" si="488"/>
        <v>4.7195425909545827E-2</v>
      </c>
      <c r="BT181" s="176">
        <f t="shared" si="525"/>
        <v>862.75800000000163</v>
      </c>
      <c r="BU181" s="147">
        <f t="shared" si="489"/>
        <v>4.7195425909545827E-2</v>
      </c>
      <c r="BV181" s="176">
        <v>0</v>
      </c>
      <c r="BW181" s="147">
        <v>0</v>
      </c>
      <c r="BX181" s="303"/>
      <c r="BY181" s="271" t="e">
        <f t="shared" si="498"/>
        <v>#DIV/0!</v>
      </c>
      <c r="BZ181" s="176">
        <f>CB181+CD181</f>
        <v>0</v>
      </c>
      <c r="CA181" s="631"/>
      <c r="CB181" s="176"/>
      <c r="CC181" s="631"/>
      <c r="CD181" s="176"/>
      <c r="CE181" s="631"/>
      <c r="CF181" s="176" t="s">
        <v>81</v>
      </c>
      <c r="CG181" s="176" t="s">
        <v>81</v>
      </c>
      <c r="CH181" s="176">
        <f>CI181+CJ181</f>
        <v>0</v>
      </c>
      <c r="CI181" s="272"/>
      <c r="CJ181" s="176">
        <f>CK181+CL181</f>
        <v>0</v>
      </c>
      <c r="CK181" s="273"/>
    </row>
    <row r="182" spans="2:89" s="42" customFormat="1" ht="30.75" hidden="1" customHeight="1">
      <c r="B182" s="705" t="s">
        <v>304</v>
      </c>
      <c r="C182" s="709" t="s">
        <v>305</v>
      </c>
      <c r="D182" s="706"/>
      <c r="E182" s="175">
        <f>F182</f>
        <v>0</v>
      </c>
      <c r="F182" s="175">
        <f>F183+F184</f>
        <v>0</v>
      </c>
      <c r="G182" s="175"/>
      <c r="H182" s="175">
        <f>I182+J182</f>
        <v>0</v>
      </c>
      <c r="I182" s="175">
        <f>L182-F182</f>
        <v>0</v>
      </c>
      <c r="J182" s="175"/>
      <c r="K182" s="176">
        <f t="shared" si="520"/>
        <v>0</v>
      </c>
      <c r="L182" s="176">
        <f>L183+L184</f>
        <v>0</v>
      </c>
      <c r="M182" s="176"/>
      <c r="N182" s="176">
        <f t="shared" si="518"/>
        <v>0</v>
      </c>
      <c r="O182" s="176">
        <f t="shared" si="521"/>
        <v>0</v>
      </c>
      <c r="P182" s="176"/>
      <c r="Q182" s="175">
        <f>R182+S182</f>
        <v>0</v>
      </c>
      <c r="R182" s="175">
        <f>R183+R184</f>
        <v>0</v>
      </c>
      <c r="S182" s="175"/>
      <c r="T182" s="176">
        <f t="shared" si="508"/>
        <v>0</v>
      </c>
      <c r="U182" s="607" t="e">
        <f t="shared" si="509"/>
        <v>#DIV/0!</v>
      </c>
      <c r="V182" s="176">
        <f>V183+V184</f>
        <v>0</v>
      </c>
      <c r="W182" s="607" t="e">
        <f t="shared" si="510"/>
        <v>#DIV/0!</v>
      </c>
      <c r="X182" s="176"/>
      <c r="Y182" s="607">
        <v>0</v>
      </c>
      <c r="Z182" s="176">
        <f t="shared" ref="Z182:Z185" si="528">AB182+AD182</f>
        <v>0</v>
      </c>
      <c r="AA182" s="607" t="e">
        <f t="shared" si="511"/>
        <v>#DIV/0!</v>
      </c>
      <c r="AB182" s="176">
        <f t="shared" si="512"/>
        <v>0</v>
      </c>
      <c r="AC182" s="607" t="e">
        <f t="shared" si="513"/>
        <v>#DIV/0!</v>
      </c>
      <c r="AD182" s="176"/>
      <c r="AE182" s="176"/>
      <c r="AF182" s="176"/>
      <c r="AG182" s="176"/>
      <c r="AH182" s="176"/>
      <c r="AI182" s="176"/>
      <c r="AJ182" s="176"/>
      <c r="AK182" s="176">
        <f t="shared" si="522"/>
        <v>0</v>
      </c>
      <c r="AL182" s="608" t="e">
        <f t="shared" si="472"/>
        <v>#DIV/0!</v>
      </c>
      <c r="AM182" s="707" t="e">
        <f t="shared" si="502"/>
        <v>#DIV/0!</v>
      </c>
      <c r="AN182" s="176">
        <f>AN184</f>
        <v>0</v>
      </c>
      <c r="AO182" s="608" t="e">
        <f t="shared" si="474"/>
        <v>#DIV/0!</v>
      </c>
      <c r="AP182" s="707" t="e">
        <f t="shared" si="503"/>
        <v>#DIV/0!</v>
      </c>
      <c r="AQ182" s="176">
        <v>0</v>
      </c>
      <c r="AR182" s="608" t="e">
        <f t="shared" si="475"/>
        <v>#DIV/0!</v>
      </c>
      <c r="AS182" s="707">
        <v>0</v>
      </c>
      <c r="AT182" s="176">
        <f t="shared" si="523"/>
        <v>0</v>
      </c>
      <c r="AU182" s="584" t="e">
        <f t="shared" si="526"/>
        <v>#DIV/0!</v>
      </c>
      <c r="AV182" s="176">
        <f>AV183+AV184</f>
        <v>0</v>
      </c>
      <c r="AW182" s="373" t="e">
        <f t="shared" si="527"/>
        <v>#DIV/0!</v>
      </c>
      <c r="AX182" s="176">
        <v>0</v>
      </c>
      <c r="AY182" s="373">
        <v>0</v>
      </c>
      <c r="AZ182" s="176">
        <f t="shared" si="524"/>
        <v>0</v>
      </c>
      <c r="BA182" s="262" t="e">
        <f t="shared" si="479"/>
        <v>#DIV/0!</v>
      </c>
      <c r="BB182" s="176">
        <f>BB183+BB184</f>
        <v>0</v>
      </c>
      <c r="BC182" s="262" t="e">
        <f t="shared" si="480"/>
        <v>#DIV/0!</v>
      </c>
      <c r="BD182" s="176">
        <f>G182-AX182</f>
        <v>0</v>
      </c>
      <c r="BE182" s="375">
        <v>0</v>
      </c>
      <c r="BF182" s="176">
        <f>BH182+BJ182</f>
        <v>0</v>
      </c>
      <c r="BG182" s="373" t="e">
        <f t="shared" si="494"/>
        <v>#DIV/0!</v>
      </c>
      <c r="BH182" s="176"/>
      <c r="BI182" s="373" t="e">
        <f t="shared" si="495"/>
        <v>#DIV/0!</v>
      </c>
      <c r="BJ182" s="176"/>
      <c r="BK182" s="373">
        <v>0</v>
      </c>
      <c r="BL182" s="176">
        <v>0</v>
      </c>
      <c r="BM182" s="374" t="e">
        <f t="shared" si="505"/>
        <v>#DIV/0!</v>
      </c>
      <c r="BN182" s="54">
        <f t="shared" si="519"/>
        <v>0</v>
      </c>
      <c r="BO182" s="374" t="e">
        <f t="shared" si="497"/>
        <v>#DIV/0!</v>
      </c>
      <c r="BP182" s="176">
        <f t="shared" si="515"/>
        <v>0</v>
      </c>
      <c r="BQ182" s="374">
        <v>0</v>
      </c>
      <c r="BR182" s="176" t="e">
        <f>BT182+BV182</f>
        <v>#REF!</v>
      </c>
      <c r="BS182" s="147" t="e">
        <f t="shared" si="488"/>
        <v>#REF!</v>
      </c>
      <c r="BT182" s="176">
        <f t="shared" ref="BT182:BT187" si="529">R182-BH182-BN182</f>
        <v>0</v>
      </c>
      <c r="BU182" s="147" t="e">
        <f t="shared" si="489"/>
        <v>#DIV/0!</v>
      </c>
      <c r="BV182" s="176" t="e">
        <f>G182-BJ182-BP182-#REF!-#REF!</f>
        <v>#REF!</v>
      </c>
      <c r="BW182" s="147">
        <v>0</v>
      </c>
      <c r="BX182" s="303"/>
      <c r="BY182" s="271" t="e">
        <f t="shared" si="498"/>
        <v>#DIV/0!</v>
      </c>
      <c r="BZ182" s="176"/>
      <c r="CA182" s="631"/>
      <c r="CB182" s="176"/>
      <c r="CC182" s="631"/>
      <c r="CD182" s="176"/>
      <c r="CE182" s="631"/>
      <c r="CF182" s="176" t="s">
        <v>81</v>
      </c>
      <c r="CG182" s="176" t="s">
        <v>81</v>
      </c>
      <c r="CH182" s="176"/>
      <c r="CI182" s="272"/>
      <c r="CJ182" s="176"/>
      <c r="CK182" s="273"/>
    </row>
    <row r="183" spans="2:89" s="42" customFormat="1" ht="15.75" hidden="1" customHeight="1">
      <c r="B183" s="705"/>
      <c r="C183" s="266" t="s">
        <v>291</v>
      </c>
      <c r="D183" s="706"/>
      <c r="E183" s="175">
        <f t="shared" ref="E183:E193" si="530">F183+G183</f>
        <v>0</v>
      </c>
      <c r="F183" s="175">
        <v>0</v>
      </c>
      <c r="G183" s="175"/>
      <c r="H183" s="175">
        <f>I183+J183</f>
        <v>0</v>
      </c>
      <c r="I183" s="175">
        <f>L183-F183</f>
        <v>0</v>
      </c>
      <c r="J183" s="175"/>
      <c r="K183" s="176">
        <f t="shared" si="520"/>
        <v>0</v>
      </c>
      <c r="L183" s="176">
        <v>0</v>
      </c>
      <c r="M183" s="176"/>
      <c r="N183" s="176">
        <f t="shared" si="518"/>
        <v>0</v>
      </c>
      <c r="O183" s="176">
        <f>R183-L183</f>
        <v>0</v>
      </c>
      <c r="P183" s="176"/>
      <c r="Q183" s="175">
        <f>R183+S183</f>
        <v>0</v>
      </c>
      <c r="R183" s="175">
        <v>0</v>
      </c>
      <c r="S183" s="175"/>
      <c r="T183" s="176">
        <f t="shared" si="508"/>
        <v>0</v>
      </c>
      <c r="U183" s="607" t="e">
        <f t="shared" si="509"/>
        <v>#DIV/0!</v>
      </c>
      <c r="V183" s="176"/>
      <c r="W183" s="607" t="e">
        <f t="shared" si="510"/>
        <v>#DIV/0!</v>
      </c>
      <c r="X183" s="176"/>
      <c r="Y183" s="607">
        <v>0</v>
      </c>
      <c r="Z183" s="176">
        <f t="shared" si="528"/>
        <v>0</v>
      </c>
      <c r="AA183" s="607" t="e">
        <f t="shared" si="511"/>
        <v>#DIV/0!</v>
      </c>
      <c r="AB183" s="176">
        <f t="shared" si="512"/>
        <v>0</v>
      </c>
      <c r="AC183" s="607" t="e">
        <f t="shared" si="513"/>
        <v>#DIV/0!</v>
      </c>
      <c r="AD183" s="176"/>
      <c r="AE183" s="176"/>
      <c r="AF183" s="176"/>
      <c r="AG183" s="176"/>
      <c r="AH183" s="176"/>
      <c r="AI183" s="176"/>
      <c r="AJ183" s="176"/>
      <c r="AK183" s="176">
        <f t="shared" si="522"/>
        <v>0</v>
      </c>
      <c r="AL183" s="608" t="e">
        <f t="shared" si="472"/>
        <v>#DIV/0!</v>
      </c>
      <c r="AM183" s="707" t="e">
        <f t="shared" si="502"/>
        <v>#DIV/0!</v>
      </c>
      <c r="AN183" s="176"/>
      <c r="AO183" s="608" t="e">
        <f t="shared" si="474"/>
        <v>#DIV/0!</v>
      </c>
      <c r="AP183" s="707" t="e">
        <f t="shared" si="503"/>
        <v>#DIV/0!</v>
      </c>
      <c r="AQ183" s="176">
        <v>0</v>
      </c>
      <c r="AR183" s="608" t="e">
        <f t="shared" si="475"/>
        <v>#DIV/0!</v>
      </c>
      <c r="AS183" s="707">
        <v>0</v>
      </c>
      <c r="AT183" s="176">
        <f t="shared" si="523"/>
        <v>0</v>
      </c>
      <c r="AU183" s="584" t="e">
        <f t="shared" si="526"/>
        <v>#DIV/0!</v>
      </c>
      <c r="AV183" s="176"/>
      <c r="AW183" s="373" t="e">
        <f t="shared" si="527"/>
        <v>#DIV/0!</v>
      </c>
      <c r="AX183" s="176">
        <v>0</v>
      </c>
      <c r="AY183" s="373">
        <v>0</v>
      </c>
      <c r="AZ183" s="176">
        <f t="shared" si="524"/>
        <v>0</v>
      </c>
      <c r="BA183" s="262" t="e">
        <f t="shared" si="479"/>
        <v>#DIV/0!</v>
      </c>
      <c r="BB183" s="176">
        <f>L183-AV183</f>
        <v>0</v>
      </c>
      <c r="BC183" s="262" t="e">
        <f t="shared" si="480"/>
        <v>#DIV/0!</v>
      </c>
      <c r="BD183" s="176">
        <f>G183-AX183</f>
        <v>0</v>
      </c>
      <c r="BE183" s="262">
        <v>0</v>
      </c>
      <c r="BF183" s="176">
        <f>BH183+BJ183</f>
        <v>0</v>
      </c>
      <c r="BG183" s="373" t="e">
        <f t="shared" si="494"/>
        <v>#DIV/0!</v>
      </c>
      <c r="BH183" s="176"/>
      <c r="BI183" s="373" t="e">
        <f t="shared" si="495"/>
        <v>#DIV/0!</v>
      </c>
      <c r="BJ183" s="176"/>
      <c r="BK183" s="373">
        <v>0</v>
      </c>
      <c r="BL183" s="176"/>
      <c r="BM183" s="374" t="e">
        <f t="shared" si="505"/>
        <v>#DIV/0!</v>
      </c>
      <c r="BN183" s="54">
        <f t="shared" si="519"/>
        <v>0</v>
      </c>
      <c r="BO183" s="374" t="e">
        <f t="shared" si="497"/>
        <v>#DIV/0!</v>
      </c>
      <c r="BP183" s="176">
        <f t="shared" si="515"/>
        <v>0</v>
      </c>
      <c r="BQ183" s="374">
        <v>0</v>
      </c>
      <c r="BR183" s="176">
        <f t="shared" si="516"/>
        <v>0</v>
      </c>
      <c r="BS183" s="147" t="e">
        <f t="shared" si="488"/>
        <v>#DIV/0!</v>
      </c>
      <c r="BT183" s="176">
        <f t="shared" si="529"/>
        <v>0</v>
      </c>
      <c r="BU183" s="147" t="e">
        <f t="shared" si="489"/>
        <v>#DIV/0!</v>
      </c>
      <c r="BV183" s="176" t="e">
        <f>G183-BJ183-BP183-#REF!-#REF!</f>
        <v>#REF!</v>
      </c>
      <c r="BW183" s="147">
        <v>0</v>
      </c>
      <c r="BX183" s="303"/>
      <c r="BY183" s="271" t="e">
        <f t="shared" si="498"/>
        <v>#DIV/0!</v>
      </c>
      <c r="BZ183" s="176"/>
      <c r="CA183" s="631"/>
      <c r="CB183" s="176"/>
      <c r="CC183" s="631"/>
      <c r="CD183" s="176"/>
      <c r="CE183" s="631"/>
      <c r="CF183" s="176" t="s">
        <v>81</v>
      </c>
      <c r="CG183" s="176" t="s">
        <v>81</v>
      </c>
      <c r="CH183" s="176"/>
      <c r="CI183" s="272"/>
      <c r="CJ183" s="176"/>
      <c r="CK183" s="273"/>
    </row>
    <row r="184" spans="2:89" s="42" customFormat="1" ht="15.75" hidden="1" customHeight="1">
      <c r="B184" s="705"/>
      <c r="C184" s="266" t="s">
        <v>293</v>
      </c>
      <c r="D184" s="706"/>
      <c r="E184" s="175">
        <f t="shared" si="530"/>
        <v>0</v>
      </c>
      <c r="F184" s="175">
        <v>0</v>
      </c>
      <c r="G184" s="175"/>
      <c r="H184" s="175">
        <f>I184+J184</f>
        <v>0</v>
      </c>
      <c r="I184" s="175">
        <f>L184-F184</f>
        <v>0</v>
      </c>
      <c r="J184" s="175"/>
      <c r="K184" s="176">
        <f t="shared" si="520"/>
        <v>0</v>
      </c>
      <c r="L184" s="176">
        <f>R184</f>
        <v>0</v>
      </c>
      <c r="M184" s="176"/>
      <c r="N184" s="176">
        <f t="shared" si="518"/>
        <v>0</v>
      </c>
      <c r="O184" s="176">
        <f>R184-L184</f>
        <v>0</v>
      </c>
      <c r="P184" s="176"/>
      <c r="Q184" s="175">
        <f>R184+S184</f>
        <v>0</v>
      </c>
      <c r="R184" s="175">
        <v>0</v>
      </c>
      <c r="S184" s="175"/>
      <c r="T184" s="176">
        <f t="shared" si="508"/>
        <v>0</v>
      </c>
      <c r="U184" s="607" t="e">
        <f t="shared" si="509"/>
        <v>#DIV/0!</v>
      </c>
      <c r="V184" s="176">
        <v>0</v>
      </c>
      <c r="W184" s="607" t="e">
        <f t="shared" si="510"/>
        <v>#DIV/0!</v>
      </c>
      <c r="X184" s="176"/>
      <c r="Y184" s="607">
        <v>0</v>
      </c>
      <c r="Z184" s="176">
        <f t="shared" si="528"/>
        <v>0</v>
      </c>
      <c r="AA184" s="607" t="e">
        <f t="shared" si="511"/>
        <v>#DIV/0!</v>
      </c>
      <c r="AB184" s="176">
        <f t="shared" si="512"/>
        <v>0</v>
      </c>
      <c r="AC184" s="607" t="e">
        <f t="shared" si="513"/>
        <v>#DIV/0!</v>
      </c>
      <c r="AD184" s="176"/>
      <c r="AE184" s="176"/>
      <c r="AF184" s="176"/>
      <c r="AG184" s="176"/>
      <c r="AH184" s="176"/>
      <c r="AI184" s="176"/>
      <c r="AJ184" s="176"/>
      <c r="AK184" s="176">
        <f t="shared" si="522"/>
        <v>0</v>
      </c>
      <c r="AL184" s="608" t="e">
        <f t="shared" si="472"/>
        <v>#DIV/0!</v>
      </c>
      <c r="AM184" s="707" t="e">
        <f t="shared" si="502"/>
        <v>#DIV/0!</v>
      </c>
      <c r="AN184" s="176"/>
      <c r="AO184" s="608" t="e">
        <f t="shared" si="474"/>
        <v>#DIV/0!</v>
      </c>
      <c r="AP184" s="707" t="e">
        <f t="shared" si="503"/>
        <v>#DIV/0!</v>
      </c>
      <c r="AQ184" s="176">
        <v>0</v>
      </c>
      <c r="AR184" s="608" t="e">
        <f t="shared" si="475"/>
        <v>#DIV/0!</v>
      </c>
      <c r="AS184" s="707">
        <v>0</v>
      </c>
      <c r="AT184" s="176">
        <f t="shared" si="523"/>
        <v>0</v>
      </c>
      <c r="AU184" s="584" t="e">
        <f t="shared" si="526"/>
        <v>#DIV/0!</v>
      </c>
      <c r="AV184" s="176"/>
      <c r="AW184" s="373" t="e">
        <f t="shared" si="527"/>
        <v>#DIV/0!</v>
      </c>
      <c r="AX184" s="176">
        <v>0</v>
      </c>
      <c r="AY184" s="373">
        <v>0</v>
      </c>
      <c r="AZ184" s="176">
        <f t="shared" si="524"/>
        <v>0</v>
      </c>
      <c r="BA184" s="262" t="e">
        <f t="shared" si="479"/>
        <v>#DIV/0!</v>
      </c>
      <c r="BB184" s="176">
        <f>L184-AV184</f>
        <v>0</v>
      </c>
      <c r="BC184" s="262" t="e">
        <f t="shared" si="480"/>
        <v>#DIV/0!</v>
      </c>
      <c r="BD184" s="176">
        <f>G184-AX184</f>
        <v>0</v>
      </c>
      <c r="BE184" s="262">
        <v>0</v>
      </c>
      <c r="BF184" s="176">
        <f>BH184+BJ184</f>
        <v>0</v>
      </c>
      <c r="BG184" s="373" t="e">
        <f t="shared" si="494"/>
        <v>#DIV/0!</v>
      </c>
      <c r="BH184" s="176"/>
      <c r="BI184" s="373" t="e">
        <f t="shared" si="495"/>
        <v>#DIV/0!</v>
      </c>
      <c r="BJ184" s="176"/>
      <c r="BK184" s="373">
        <v>0</v>
      </c>
      <c r="BL184" s="176"/>
      <c r="BM184" s="374" t="e">
        <f t="shared" si="505"/>
        <v>#DIV/0!</v>
      </c>
      <c r="BN184" s="54">
        <f t="shared" si="519"/>
        <v>0</v>
      </c>
      <c r="BO184" s="374" t="e">
        <f t="shared" si="497"/>
        <v>#DIV/0!</v>
      </c>
      <c r="BP184" s="176">
        <f t="shared" si="515"/>
        <v>0</v>
      </c>
      <c r="BQ184" s="374">
        <v>0</v>
      </c>
      <c r="BR184" s="176">
        <f t="shared" si="516"/>
        <v>0</v>
      </c>
      <c r="BS184" s="147" t="e">
        <f t="shared" si="488"/>
        <v>#DIV/0!</v>
      </c>
      <c r="BT184" s="176">
        <f t="shared" si="529"/>
        <v>0</v>
      </c>
      <c r="BU184" s="147" t="e">
        <f t="shared" si="489"/>
        <v>#DIV/0!</v>
      </c>
      <c r="BV184" s="176" t="e">
        <f>G184-BJ184-BP184-#REF!-#REF!</f>
        <v>#REF!</v>
      </c>
      <c r="BW184" s="147">
        <v>0</v>
      </c>
      <c r="BX184" s="303"/>
      <c r="BY184" s="271" t="e">
        <f t="shared" si="498"/>
        <v>#DIV/0!</v>
      </c>
      <c r="BZ184" s="176"/>
      <c r="CA184" s="631"/>
      <c r="CB184" s="176"/>
      <c r="CC184" s="631"/>
      <c r="CD184" s="176"/>
      <c r="CE184" s="631"/>
      <c r="CF184" s="176" t="s">
        <v>81</v>
      </c>
      <c r="CG184" s="176" t="s">
        <v>81</v>
      </c>
      <c r="CH184" s="176"/>
      <c r="CI184" s="272"/>
      <c r="CJ184" s="176"/>
      <c r="CK184" s="273"/>
    </row>
    <row r="185" spans="2:89" s="42" customFormat="1" ht="51.75" hidden="1" customHeight="1">
      <c r="B185" s="705" t="s">
        <v>306</v>
      </c>
      <c r="C185" s="709" t="s">
        <v>307</v>
      </c>
      <c r="D185" s="706"/>
      <c r="E185" s="175">
        <f t="shared" si="530"/>
        <v>2062.52241</v>
      </c>
      <c r="F185" s="175">
        <f>F186+F187</f>
        <v>2050.5808099999999</v>
      </c>
      <c r="G185" s="175">
        <f>G186+G187</f>
        <v>11.941599999999999</v>
      </c>
      <c r="H185" s="175">
        <f>I185</f>
        <v>-2050.5808099999999</v>
      </c>
      <c r="I185" s="175">
        <f>I186+I187</f>
        <v>-2050.5808099999999</v>
      </c>
      <c r="J185" s="175"/>
      <c r="K185" s="176">
        <f t="shared" si="520"/>
        <v>0</v>
      </c>
      <c r="L185" s="176">
        <f>L186+L187</f>
        <v>0</v>
      </c>
      <c r="M185" s="176"/>
      <c r="N185" s="176"/>
      <c r="O185" s="176"/>
      <c r="P185" s="176"/>
      <c r="Q185" s="175"/>
      <c r="R185" s="175">
        <f>R186+R187</f>
        <v>0</v>
      </c>
      <c r="S185" s="175"/>
      <c r="T185" s="176">
        <f t="shared" si="508"/>
        <v>0</v>
      </c>
      <c r="U185" s="607" t="e">
        <f t="shared" si="509"/>
        <v>#DIV/0!</v>
      </c>
      <c r="V185" s="176"/>
      <c r="W185" s="607" t="e">
        <f t="shared" si="510"/>
        <v>#DIV/0!</v>
      </c>
      <c r="X185" s="176"/>
      <c r="Y185" s="607">
        <v>0</v>
      </c>
      <c r="Z185" s="176">
        <f t="shared" si="528"/>
        <v>0</v>
      </c>
      <c r="AA185" s="607" t="e">
        <f t="shared" si="511"/>
        <v>#DIV/0!</v>
      </c>
      <c r="AB185" s="176">
        <f t="shared" si="512"/>
        <v>0</v>
      </c>
      <c r="AC185" s="607" t="e">
        <f t="shared" si="513"/>
        <v>#DIV/0!</v>
      </c>
      <c r="AD185" s="176"/>
      <c r="AE185" s="176"/>
      <c r="AF185" s="176"/>
      <c r="AG185" s="176"/>
      <c r="AH185" s="176">
        <f>AH186+AH187</f>
        <v>0</v>
      </c>
      <c r="AI185" s="176">
        <f>AI186+AI187</f>
        <v>0</v>
      </c>
      <c r="AJ185" s="176">
        <f>AJ186+AJ187</f>
        <v>0</v>
      </c>
      <c r="AK185" s="176">
        <f t="shared" si="522"/>
        <v>0</v>
      </c>
      <c r="AL185" s="608" t="e">
        <f t="shared" si="472"/>
        <v>#DIV/0!</v>
      </c>
      <c r="AM185" s="707" t="e">
        <f t="shared" si="502"/>
        <v>#DIV/0!</v>
      </c>
      <c r="AN185" s="176"/>
      <c r="AO185" s="608" t="e">
        <f t="shared" si="474"/>
        <v>#DIV/0!</v>
      </c>
      <c r="AP185" s="707" t="e">
        <f t="shared" si="503"/>
        <v>#DIV/0!</v>
      </c>
      <c r="AQ185" s="176">
        <v>0</v>
      </c>
      <c r="AR185" s="608" t="e">
        <f t="shared" si="475"/>
        <v>#DIV/0!</v>
      </c>
      <c r="AS185" s="707">
        <v>0</v>
      </c>
      <c r="AT185" s="176">
        <f t="shared" si="523"/>
        <v>0</v>
      </c>
      <c r="AU185" s="584" t="e">
        <f t="shared" si="526"/>
        <v>#DIV/0!</v>
      </c>
      <c r="AV185" s="176"/>
      <c r="AW185" s="373" t="e">
        <f t="shared" si="527"/>
        <v>#DIV/0!</v>
      </c>
      <c r="AX185" s="176">
        <v>0</v>
      </c>
      <c r="AY185" s="373">
        <v>0</v>
      </c>
      <c r="AZ185" s="176"/>
      <c r="BA185" s="262" t="e">
        <f t="shared" si="479"/>
        <v>#DIV/0!</v>
      </c>
      <c r="BB185" s="176">
        <v>0</v>
      </c>
      <c r="BC185" s="262" t="e">
        <f t="shared" si="480"/>
        <v>#DIV/0!</v>
      </c>
      <c r="BD185" s="176">
        <f>BD186+BD187</f>
        <v>0</v>
      </c>
      <c r="BE185" s="443" t="e">
        <f>BD185/S185</f>
        <v>#DIV/0!</v>
      </c>
      <c r="BF185" s="176"/>
      <c r="BG185" s="373" t="e">
        <f t="shared" si="494"/>
        <v>#DIV/0!</v>
      </c>
      <c r="BH185" s="176"/>
      <c r="BI185" s="373" t="e">
        <f t="shared" si="495"/>
        <v>#DIV/0!</v>
      </c>
      <c r="BJ185" s="176"/>
      <c r="BK185" s="373">
        <v>0</v>
      </c>
      <c r="BL185" s="176"/>
      <c r="BM185" s="374" t="e">
        <f t="shared" si="505"/>
        <v>#DIV/0!</v>
      </c>
      <c r="BN185" s="54">
        <f t="shared" si="519"/>
        <v>0</v>
      </c>
      <c r="BO185" s="374" t="e">
        <f t="shared" si="497"/>
        <v>#DIV/0!</v>
      </c>
      <c r="BP185" s="176">
        <f t="shared" si="515"/>
        <v>0</v>
      </c>
      <c r="BQ185" s="374">
        <v>0</v>
      </c>
      <c r="BR185" s="176">
        <f>BR186+BR187</f>
        <v>0</v>
      </c>
      <c r="BS185" s="147" t="e">
        <f t="shared" si="488"/>
        <v>#DIV/0!</v>
      </c>
      <c r="BT185" s="176">
        <f t="shared" si="529"/>
        <v>0</v>
      </c>
      <c r="BU185" s="147" t="e">
        <f t="shared" si="489"/>
        <v>#DIV/0!</v>
      </c>
      <c r="BV185" s="176"/>
      <c r="BW185" s="147">
        <v>0</v>
      </c>
      <c r="BX185" s="303"/>
      <c r="BY185" s="265" t="e">
        <f t="shared" si="498"/>
        <v>#DIV/0!</v>
      </c>
      <c r="BZ185" s="176"/>
      <c r="CA185" s="631"/>
      <c r="CB185" s="176"/>
      <c r="CC185" s="631"/>
      <c r="CD185" s="176"/>
      <c r="CE185" s="631"/>
      <c r="CF185" s="161" t="s">
        <v>81</v>
      </c>
      <c r="CG185" s="161" t="s">
        <v>81</v>
      </c>
      <c r="CH185" s="176"/>
      <c r="CI185" s="272"/>
      <c r="CJ185" s="176"/>
      <c r="CK185" s="273"/>
    </row>
    <row r="186" spans="2:89" s="42" customFormat="1" ht="15.75" hidden="1" customHeight="1">
      <c r="B186" s="705"/>
      <c r="C186" s="266" t="s">
        <v>291</v>
      </c>
      <c r="D186" s="706"/>
      <c r="E186" s="175">
        <f t="shared" si="530"/>
        <v>0</v>
      </c>
      <c r="F186" s="175">
        <v>0</v>
      </c>
      <c r="G186" s="175"/>
      <c r="H186" s="175">
        <f>I186</f>
        <v>0</v>
      </c>
      <c r="I186" s="175">
        <f>L186-F186</f>
        <v>0</v>
      </c>
      <c r="J186" s="175"/>
      <c r="K186" s="176">
        <f t="shared" si="520"/>
        <v>0</v>
      </c>
      <c r="L186" s="176"/>
      <c r="M186" s="176"/>
      <c r="N186" s="176"/>
      <c r="O186" s="176"/>
      <c r="P186" s="176"/>
      <c r="Q186" s="175"/>
      <c r="R186" s="175"/>
      <c r="S186" s="175"/>
      <c r="T186" s="176">
        <f t="shared" si="508"/>
        <v>0</v>
      </c>
      <c r="U186" s="607" t="e">
        <f t="shared" si="509"/>
        <v>#DIV/0!</v>
      </c>
      <c r="V186" s="176"/>
      <c r="W186" s="607" t="e">
        <f t="shared" si="510"/>
        <v>#DIV/0!</v>
      </c>
      <c r="X186" s="176"/>
      <c r="Y186" s="607">
        <v>0</v>
      </c>
      <c r="Z186" s="176"/>
      <c r="AA186" s="607" t="e">
        <f t="shared" si="511"/>
        <v>#DIV/0!</v>
      </c>
      <c r="AB186" s="176"/>
      <c r="AC186" s="607" t="e">
        <f t="shared" si="513"/>
        <v>#DIV/0!</v>
      </c>
      <c r="AD186" s="176"/>
      <c r="AE186" s="176"/>
      <c r="AF186" s="176"/>
      <c r="AG186" s="176"/>
      <c r="AH186" s="176">
        <f>AI186</f>
        <v>0</v>
      </c>
      <c r="AI186" s="176"/>
      <c r="AJ186" s="176"/>
      <c r="AK186" s="176">
        <f t="shared" si="522"/>
        <v>0</v>
      </c>
      <c r="AL186" s="608" t="e">
        <f t="shared" si="472"/>
        <v>#DIV/0!</v>
      </c>
      <c r="AM186" s="707" t="e">
        <f t="shared" si="502"/>
        <v>#DIV/0!</v>
      </c>
      <c r="AN186" s="176"/>
      <c r="AO186" s="608" t="e">
        <f t="shared" si="474"/>
        <v>#DIV/0!</v>
      </c>
      <c r="AP186" s="707" t="e">
        <f t="shared" si="503"/>
        <v>#DIV/0!</v>
      </c>
      <c r="AQ186" s="176">
        <v>0</v>
      </c>
      <c r="AR186" s="608" t="e">
        <f t="shared" si="475"/>
        <v>#DIV/0!</v>
      </c>
      <c r="AS186" s="707">
        <v>0</v>
      </c>
      <c r="AT186" s="176">
        <f t="shared" si="523"/>
        <v>0</v>
      </c>
      <c r="AU186" s="584" t="e">
        <f t="shared" si="526"/>
        <v>#DIV/0!</v>
      </c>
      <c r="AV186" s="176"/>
      <c r="AW186" s="373" t="e">
        <f t="shared" si="527"/>
        <v>#DIV/0!</v>
      </c>
      <c r="AX186" s="176">
        <v>0</v>
      </c>
      <c r="AY186" s="373">
        <v>0</v>
      </c>
      <c r="AZ186" s="176">
        <f t="shared" si="524"/>
        <v>0</v>
      </c>
      <c r="BA186" s="262" t="e">
        <f t="shared" si="479"/>
        <v>#DIV/0!</v>
      </c>
      <c r="BB186" s="176">
        <f>L186-AV186</f>
        <v>0</v>
      </c>
      <c r="BC186" s="262" t="e">
        <f t="shared" si="480"/>
        <v>#DIV/0!</v>
      </c>
      <c r="BD186" s="176">
        <f>M186-AX186</f>
        <v>0</v>
      </c>
      <c r="BE186" s="443" t="e">
        <f>BD186/S186</f>
        <v>#DIV/0!</v>
      </c>
      <c r="BF186" s="176"/>
      <c r="BG186" s="373" t="e">
        <f t="shared" si="494"/>
        <v>#DIV/0!</v>
      </c>
      <c r="BH186" s="176"/>
      <c r="BI186" s="373" t="e">
        <f t="shared" si="495"/>
        <v>#DIV/0!</v>
      </c>
      <c r="BJ186" s="176"/>
      <c r="BK186" s="373">
        <v>0</v>
      </c>
      <c r="BL186" s="176"/>
      <c r="BM186" s="374" t="e">
        <f t="shared" si="505"/>
        <v>#DIV/0!</v>
      </c>
      <c r="BN186" s="54">
        <f t="shared" si="519"/>
        <v>0</v>
      </c>
      <c r="BO186" s="374" t="e">
        <f t="shared" si="497"/>
        <v>#DIV/0!</v>
      </c>
      <c r="BP186" s="176">
        <f t="shared" si="515"/>
        <v>0</v>
      </c>
      <c r="BQ186" s="374">
        <v>0</v>
      </c>
      <c r="BR186" s="176">
        <f t="shared" si="516"/>
        <v>0</v>
      </c>
      <c r="BS186" s="147" t="e">
        <f t="shared" si="488"/>
        <v>#DIV/0!</v>
      </c>
      <c r="BT186" s="176">
        <f t="shared" si="529"/>
        <v>0</v>
      </c>
      <c r="BU186" s="147" t="e">
        <f t="shared" si="489"/>
        <v>#DIV/0!</v>
      </c>
      <c r="BV186" s="176"/>
      <c r="BW186" s="147">
        <v>0</v>
      </c>
      <c r="BX186" s="303"/>
      <c r="BY186" s="265" t="e">
        <f t="shared" si="498"/>
        <v>#DIV/0!</v>
      </c>
      <c r="BZ186" s="176"/>
      <c r="CA186" s="631"/>
      <c r="CB186" s="176"/>
      <c r="CC186" s="631"/>
      <c r="CD186" s="176"/>
      <c r="CE186" s="631"/>
      <c r="CF186" s="161" t="s">
        <v>81</v>
      </c>
      <c r="CG186" s="161" t="s">
        <v>81</v>
      </c>
      <c r="CH186" s="176"/>
      <c r="CI186" s="272"/>
      <c r="CJ186" s="176"/>
      <c r="CK186" s="273"/>
    </row>
    <row r="187" spans="2:89" s="42" customFormat="1" ht="15.75" hidden="1" customHeight="1">
      <c r="B187" s="705"/>
      <c r="C187" s="266" t="s">
        <v>293</v>
      </c>
      <c r="D187" s="706"/>
      <c r="E187" s="175">
        <f t="shared" si="530"/>
        <v>2062.52241</v>
      </c>
      <c r="F187" s="175">
        <v>2050.5808099999999</v>
      </c>
      <c r="G187" s="175">
        <v>11.941599999999999</v>
      </c>
      <c r="H187" s="175">
        <f t="shared" ref="H187:H193" si="531">I187+J187</f>
        <v>-2050.5808099999999</v>
      </c>
      <c r="I187" s="175">
        <f>L187-F187</f>
        <v>-2050.5808099999999</v>
      </c>
      <c r="J187" s="175"/>
      <c r="K187" s="176">
        <f t="shared" si="520"/>
        <v>0</v>
      </c>
      <c r="L187" s="176"/>
      <c r="M187" s="176"/>
      <c r="N187" s="176"/>
      <c r="O187" s="176"/>
      <c r="P187" s="176"/>
      <c r="Q187" s="175"/>
      <c r="R187" s="175"/>
      <c r="S187" s="175"/>
      <c r="T187" s="176"/>
      <c r="U187" s="607" t="e">
        <f t="shared" si="509"/>
        <v>#DIV/0!</v>
      </c>
      <c r="V187" s="176"/>
      <c r="W187" s="607" t="e">
        <f t="shared" si="510"/>
        <v>#DIV/0!</v>
      </c>
      <c r="X187" s="176"/>
      <c r="Y187" s="607">
        <v>0</v>
      </c>
      <c r="Z187" s="176"/>
      <c r="AA187" s="607" t="e">
        <f t="shared" si="511"/>
        <v>#DIV/0!</v>
      </c>
      <c r="AB187" s="176"/>
      <c r="AC187" s="607" t="e">
        <f t="shared" si="513"/>
        <v>#DIV/0!</v>
      </c>
      <c r="AD187" s="176"/>
      <c r="AE187" s="176"/>
      <c r="AF187" s="176"/>
      <c r="AG187" s="176"/>
      <c r="AH187" s="176">
        <f>AI187</f>
        <v>0</v>
      </c>
      <c r="AI187" s="176"/>
      <c r="AJ187" s="176"/>
      <c r="AK187" s="176">
        <f t="shared" si="522"/>
        <v>0</v>
      </c>
      <c r="AL187" s="608" t="e">
        <f t="shared" si="472"/>
        <v>#DIV/0!</v>
      </c>
      <c r="AM187" s="707" t="e">
        <f t="shared" si="502"/>
        <v>#DIV/0!</v>
      </c>
      <c r="AN187" s="176"/>
      <c r="AO187" s="608" t="e">
        <f t="shared" si="474"/>
        <v>#DIV/0!</v>
      </c>
      <c r="AP187" s="707" t="e">
        <f t="shared" si="503"/>
        <v>#DIV/0!</v>
      </c>
      <c r="AQ187" s="176">
        <v>0</v>
      </c>
      <c r="AR187" s="608" t="e">
        <f t="shared" si="475"/>
        <v>#DIV/0!</v>
      </c>
      <c r="AS187" s="707">
        <v>0</v>
      </c>
      <c r="AT187" s="176">
        <f t="shared" si="523"/>
        <v>0</v>
      </c>
      <c r="AU187" s="584" t="e">
        <f t="shared" si="526"/>
        <v>#DIV/0!</v>
      </c>
      <c r="AV187" s="176"/>
      <c r="AW187" s="373" t="e">
        <f t="shared" si="527"/>
        <v>#DIV/0!</v>
      </c>
      <c r="AX187" s="176">
        <v>0</v>
      </c>
      <c r="AY187" s="373">
        <v>0</v>
      </c>
      <c r="AZ187" s="176">
        <f t="shared" si="524"/>
        <v>0</v>
      </c>
      <c r="BA187" s="262" t="e">
        <f t="shared" si="479"/>
        <v>#DIV/0!</v>
      </c>
      <c r="BB187" s="176">
        <f>L187-AV187</f>
        <v>0</v>
      </c>
      <c r="BC187" s="262" t="e">
        <f t="shared" si="480"/>
        <v>#DIV/0!</v>
      </c>
      <c r="BD187" s="176">
        <f>M187-AX187</f>
        <v>0</v>
      </c>
      <c r="BE187" s="443" t="e">
        <f>BD187/S187</f>
        <v>#DIV/0!</v>
      </c>
      <c r="BF187" s="176"/>
      <c r="BG187" s="373" t="e">
        <f t="shared" si="494"/>
        <v>#DIV/0!</v>
      </c>
      <c r="BH187" s="176"/>
      <c r="BI187" s="373" t="e">
        <f t="shared" si="495"/>
        <v>#DIV/0!</v>
      </c>
      <c r="BJ187" s="176"/>
      <c r="BK187" s="373">
        <v>0</v>
      </c>
      <c r="BL187" s="176"/>
      <c r="BM187" s="374" t="e">
        <f t="shared" si="505"/>
        <v>#DIV/0!</v>
      </c>
      <c r="BN187" s="54">
        <f t="shared" si="519"/>
        <v>0</v>
      </c>
      <c r="BO187" s="374" t="e">
        <f t="shared" si="497"/>
        <v>#DIV/0!</v>
      </c>
      <c r="BP187" s="176">
        <f t="shared" si="515"/>
        <v>0</v>
      </c>
      <c r="BQ187" s="374">
        <v>0</v>
      </c>
      <c r="BR187" s="176">
        <f t="shared" si="516"/>
        <v>0</v>
      </c>
      <c r="BS187" s="147" t="e">
        <f t="shared" si="488"/>
        <v>#DIV/0!</v>
      </c>
      <c r="BT187" s="176">
        <f t="shared" si="529"/>
        <v>0</v>
      </c>
      <c r="BU187" s="147" t="e">
        <f t="shared" si="489"/>
        <v>#DIV/0!</v>
      </c>
      <c r="BV187" s="176"/>
      <c r="BW187" s="147">
        <v>0</v>
      </c>
      <c r="BX187" s="303"/>
      <c r="BY187" s="265" t="e">
        <f t="shared" si="498"/>
        <v>#DIV/0!</v>
      </c>
      <c r="BZ187" s="176"/>
      <c r="CA187" s="631"/>
      <c r="CB187" s="176"/>
      <c r="CC187" s="631"/>
      <c r="CD187" s="176"/>
      <c r="CE187" s="631"/>
      <c r="CF187" s="161" t="s">
        <v>81</v>
      </c>
      <c r="CG187" s="161" t="s">
        <v>81</v>
      </c>
      <c r="CH187" s="176"/>
      <c r="CI187" s="272"/>
      <c r="CJ187" s="176"/>
      <c r="CK187" s="273"/>
    </row>
    <row r="188" spans="2:89" s="704" customFormat="1" ht="38.25" hidden="1" customHeight="1">
      <c r="B188" s="710" t="s">
        <v>45</v>
      </c>
      <c r="C188" s="711" t="s">
        <v>308</v>
      </c>
      <c r="D188" s="712" t="s">
        <v>309</v>
      </c>
      <c r="E188" s="160" t="e">
        <f t="shared" si="530"/>
        <v>#REF!</v>
      </c>
      <c r="F188" s="160" t="e">
        <f>F189+F201</f>
        <v>#REF!</v>
      </c>
      <c r="G188" s="160" t="e">
        <f>G189+G201</f>
        <v>#REF!</v>
      </c>
      <c r="H188" s="160" t="e">
        <f t="shared" si="531"/>
        <v>#REF!</v>
      </c>
      <c r="I188" s="160" t="e">
        <f>I189+I201</f>
        <v>#REF!</v>
      </c>
      <c r="J188" s="160" t="e">
        <f>J189+J201</f>
        <v>#REF!</v>
      </c>
      <c r="K188" s="161">
        <f t="shared" si="520"/>
        <v>577226.08617999998</v>
      </c>
      <c r="L188" s="161">
        <f>L189+L201</f>
        <v>577226.08617999998</v>
      </c>
      <c r="M188" s="161">
        <f>M189+M201</f>
        <v>0</v>
      </c>
      <c r="N188" s="161">
        <f>O188+P188</f>
        <v>-4373.9191100001335</v>
      </c>
      <c r="O188" s="161">
        <f>R188-L188</f>
        <v>-4373.9191100001335</v>
      </c>
      <c r="P188" s="161">
        <f>P189+P201</f>
        <v>0</v>
      </c>
      <c r="Q188" s="160">
        <f t="shared" ref="Q188:Q204" si="532">R188+S188</f>
        <v>572852.16706999985</v>
      </c>
      <c r="R188" s="160">
        <f>R189+R201</f>
        <v>572852.16706999985</v>
      </c>
      <c r="S188" s="160">
        <f>S189+S201</f>
        <v>0</v>
      </c>
      <c r="T188" s="161" t="e">
        <f>T189+T201</f>
        <v>#REF!</v>
      </c>
      <c r="U188" s="583" t="e">
        <f t="shared" si="509"/>
        <v>#REF!</v>
      </c>
      <c r="V188" s="161" t="e">
        <f>V189+V201</f>
        <v>#REF!</v>
      </c>
      <c r="W188" s="583" t="e">
        <f t="shared" si="510"/>
        <v>#REF!</v>
      </c>
      <c r="X188" s="161" t="e">
        <f>X189+X201</f>
        <v>#REF!</v>
      </c>
      <c r="Y188" s="583">
        <v>0</v>
      </c>
      <c r="Z188" s="161" t="e">
        <f>AB188+AD188</f>
        <v>#REF!</v>
      </c>
      <c r="AA188" s="583" t="e">
        <f t="shared" si="511"/>
        <v>#REF!</v>
      </c>
      <c r="AB188" s="161" t="e">
        <f>AB189+AB201</f>
        <v>#REF!</v>
      </c>
      <c r="AC188" s="583" t="e">
        <f t="shared" si="513"/>
        <v>#REF!</v>
      </c>
      <c r="AD188" s="161" t="e">
        <f>AD189+AD201</f>
        <v>#REF!</v>
      </c>
      <c r="AE188" s="161" t="e">
        <f>AF188+AG188</f>
        <v>#REF!</v>
      </c>
      <c r="AF188" s="161" t="e">
        <f>AF189+AF201</f>
        <v>#REF!</v>
      </c>
      <c r="AG188" s="161" t="e">
        <f>AG189+AG201</f>
        <v>#REF!</v>
      </c>
      <c r="AH188" s="161" t="e">
        <f>AI188+AJ188</f>
        <v>#REF!</v>
      </c>
      <c r="AI188" s="161" t="e">
        <f>AI189+AI201</f>
        <v>#REF!</v>
      </c>
      <c r="AJ188" s="161" t="e">
        <f>AJ189+AJ201</f>
        <v>#REF!</v>
      </c>
      <c r="AK188" s="161">
        <f>AN188+AQ188</f>
        <v>31373.341449999996</v>
      </c>
      <c r="AL188" s="164" t="e">
        <f t="shared" si="472"/>
        <v>#REF!</v>
      </c>
      <c r="AM188" s="163">
        <f t="shared" si="502"/>
        <v>5.4351912017047428E-2</v>
      </c>
      <c r="AN188" s="161">
        <f>AN189+AN201</f>
        <v>31373.341449999996</v>
      </c>
      <c r="AO188" s="164" t="e">
        <f t="shared" si="474"/>
        <v>#REF!</v>
      </c>
      <c r="AP188" s="163">
        <f t="shared" si="503"/>
        <v>5.4351912017047428E-2</v>
      </c>
      <c r="AQ188" s="161">
        <f>AQ189+AQ201</f>
        <v>0</v>
      </c>
      <c r="AR188" s="164" t="e">
        <f t="shared" si="475"/>
        <v>#REF!</v>
      </c>
      <c r="AS188" s="163">
        <v>0</v>
      </c>
      <c r="AT188" s="161">
        <f>AV188</f>
        <v>562690.56285999995</v>
      </c>
      <c r="AU188" s="550">
        <f t="shared" si="526"/>
        <v>0.97481831873504876</v>
      </c>
      <c r="AV188" s="161">
        <f>AV189+AV201</f>
        <v>562690.56285999995</v>
      </c>
      <c r="AW188" s="374">
        <f t="shared" si="527"/>
        <v>0.97481831873504876</v>
      </c>
      <c r="AX188" s="161">
        <f>AX189+AX201</f>
        <v>0</v>
      </c>
      <c r="AY188" s="374">
        <v>0</v>
      </c>
      <c r="AZ188" s="161">
        <f>AZ189+AZ201</f>
        <v>14535.523319999982</v>
      </c>
      <c r="BA188" s="443">
        <f t="shared" si="479"/>
        <v>2.5181681264951149E-2</v>
      </c>
      <c r="BB188" s="161">
        <f>L188-AV188</f>
        <v>14535.523320000037</v>
      </c>
      <c r="BC188" s="443">
        <f t="shared" si="480"/>
        <v>2.5181681264951242E-2</v>
      </c>
      <c r="BD188" s="161">
        <f>BD189+BD201</f>
        <v>0</v>
      </c>
      <c r="BE188" s="443">
        <v>0</v>
      </c>
      <c r="BF188" s="161">
        <f t="shared" ref="BF188:BF195" si="533">BH188+BJ188</f>
        <v>562690.56285999995</v>
      </c>
      <c r="BG188" s="374">
        <f t="shared" si="494"/>
        <v>1</v>
      </c>
      <c r="BH188" s="161">
        <f>BH189+BH201</f>
        <v>562690.56285999995</v>
      </c>
      <c r="BI188" s="374">
        <f t="shared" si="495"/>
        <v>1</v>
      </c>
      <c r="BJ188" s="161">
        <f>BJ189+BJ201</f>
        <v>0</v>
      </c>
      <c r="BK188" s="374">
        <v>0</v>
      </c>
      <c r="BL188" s="161">
        <f>BN188</f>
        <v>0</v>
      </c>
      <c r="BM188" s="374">
        <f t="shared" si="505"/>
        <v>0</v>
      </c>
      <c r="BN188" s="54">
        <f t="shared" si="519"/>
        <v>0</v>
      </c>
      <c r="BO188" s="374">
        <f t="shared" si="497"/>
        <v>0</v>
      </c>
      <c r="BP188" s="161">
        <f>BP189+BP201</f>
        <v>0</v>
      </c>
      <c r="BQ188" s="374">
        <v>0</v>
      </c>
      <c r="BR188" s="161">
        <f>BT188</f>
        <v>14535.523319999982</v>
      </c>
      <c r="BS188" s="147">
        <f t="shared" si="488"/>
        <v>2.5181681264951149E-2</v>
      </c>
      <c r="BT188" s="161">
        <f>BT189+BT201</f>
        <v>14535.523319999982</v>
      </c>
      <c r="BU188" s="147">
        <f t="shared" si="489"/>
        <v>2.5181681264951149E-2</v>
      </c>
      <c r="BV188" s="161">
        <v>0</v>
      </c>
      <c r="BW188" s="147">
        <v>0</v>
      </c>
      <c r="BX188" s="505"/>
      <c r="BY188" s="265">
        <v>0</v>
      </c>
      <c r="BZ188" s="161" t="e">
        <f>CB188+CD188</f>
        <v>#REF!</v>
      </c>
      <c r="CA188" s="630" t="e">
        <f>SUM(BZ188/BT188)</f>
        <v>#REF!</v>
      </c>
      <c r="CB188" s="161" t="e">
        <f>CB189+CB201</f>
        <v>#REF!</v>
      </c>
      <c r="CC188" s="630"/>
      <c r="CD188" s="161" t="e">
        <f>CD189+CD201</f>
        <v>#REF!</v>
      </c>
      <c r="CE188" s="630" t="e">
        <f>SUM(CD188/#REF!)</f>
        <v>#REF!</v>
      </c>
      <c r="CF188" s="161" t="s">
        <v>81</v>
      </c>
      <c r="CG188" s="161" t="s">
        <v>81</v>
      </c>
      <c r="CH188" s="161">
        <f>CI188+CJ188</f>
        <v>0</v>
      </c>
      <c r="CI188" s="702"/>
      <c r="CJ188" s="161">
        <f>CK188+CL188</f>
        <v>0</v>
      </c>
      <c r="CK188" s="703"/>
    </row>
    <row r="189" spans="2:89" s="269" customFormat="1" ht="16.5" hidden="1" customHeight="1">
      <c r="B189" s="710"/>
      <c r="C189" s="708" t="s">
        <v>310</v>
      </c>
      <c r="D189" s="706" t="s">
        <v>311</v>
      </c>
      <c r="E189" s="175">
        <f t="shared" si="530"/>
        <v>547817.34617000003</v>
      </c>
      <c r="F189" s="175">
        <f>SUM(F190:F196)</f>
        <v>547817.34617000003</v>
      </c>
      <c r="G189" s="175">
        <f>SUM(G190:G196)</f>
        <v>0</v>
      </c>
      <c r="H189" s="175">
        <f t="shared" si="531"/>
        <v>-46736.213130000004</v>
      </c>
      <c r="I189" s="175">
        <f>SUM(I190:I196)</f>
        <v>-46736.213130000004</v>
      </c>
      <c r="J189" s="175">
        <f>SUM(J190:J196)</f>
        <v>0</v>
      </c>
      <c r="K189" s="176">
        <f>L189+M189</f>
        <v>576041.98618000001</v>
      </c>
      <c r="L189" s="176">
        <f>L190+L191+L192+L193+L194+L195+L196+L197+L198+L199+L200</f>
        <v>576041.98618000001</v>
      </c>
      <c r="M189" s="176">
        <f>SUM(M190:M196)</f>
        <v>0</v>
      </c>
      <c r="N189" s="176">
        <f>O189+P189</f>
        <v>7649.4257899999793</v>
      </c>
      <c r="O189" s="176">
        <f>SUM(O190:O198)</f>
        <v>7649.4257899999793</v>
      </c>
      <c r="P189" s="176">
        <f>SUM(P190:P198)</f>
        <v>0</v>
      </c>
      <c r="Q189" s="175">
        <f t="shared" si="532"/>
        <v>571955.21683999989</v>
      </c>
      <c r="R189" s="175">
        <f>SUM(R190:R199)</f>
        <v>571955.21683999989</v>
      </c>
      <c r="S189" s="175">
        <f>SUM(S190:S196)</f>
        <v>0</v>
      </c>
      <c r="T189" s="176">
        <f>V189+X189</f>
        <v>564062.85437000007</v>
      </c>
      <c r="U189" s="607">
        <f t="shared" si="509"/>
        <v>0.98620108316590871</v>
      </c>
      <c r="V189" s="176">
        <f>SUM(V190:V198)</f>
        <v>564062.85437000007</v>
      </c>
      <c r="W189" s="607">
        <f t="shared" si="510"/>
        <v>0.98620108316590871</v>
      </c>
      <c r="X189" s="176">
        <f>SUM(X190:X192)</f>
        <v>0</v>
      </c>
      <c r="Y189" s="607">
        <v>0</v>
      </c>
      <c r="Z189" s="176">
        <f>AB189+AD189</f>
        <v>-32475.88964000003</v>
      </c>
      <c r="AA189" s="607">
        <f t="shared" si="511"/>
        <v>-5.6780476309712398E-2</v>
      </c>
      <c r="AB189" s="176">
        <f>SUM(AB190:AB198)</f>
        <v>-32475.88964000003</v>
      </c>
      <c r="AC189" s="607">
        <f t="shared" si="513"/>
        <v>-5.6780476309712398E-2</v>
      </c>
      <c r="AD189" s="176">
        <f>SUM(AD190:AD192)</f>
        <v>0</v>
      </c>
      <c r="AE189" s="176">
        <f>AF189+AG189</f>
        <v>0</v>
      </c>
      <c r="AF189" s="176">
        <f>SUM(AF190:AF192)</f>
        <v>0</v>
      </c>
      <c r="AG189" s="176">
        <f>SUM(AG190:AG192)</f>
        <v>0</v>
      </c>
      <c r="AH189" s="176">
        <f>SUM(AH190:AH196)</f>
        <v>48174.161899999999</v>
      </c>
      <c r="AI189" s="176">
        <f>SUM(AI190:AI196)</f>
        <v>48174.161899999999</v>
      </c>
      <c r="AJ189" s="176">
        <f>SUM(AJ190:AJ196)</f>
        <v>0</v>
      </c>
      <c r="AK189" s="176">
        <f>SUM(AK190:AK198)</f>
        <v>31166.391219999998</v>
      </c>
      <c r="AL189" s="164">
        <f t="shared" si="472"/>
        <v>0.64695243239924427</v>
      </c>
      <c r="AM189" s="707">
        <f t="shared" si="502"/>
        <v>5.4104374277782606E-2</v>
      </c>
      <c r="AN189" s="176">
        <f>AN190+AN191+AN192+AN193+AN194+AN195+AN196+AN197++AN198+AN199</f>
        <v>31166.391219999998</v>
      </c>
      <c r="AO189" s="608">
        <f t="shared" si="474"/>
        <v>0.64695243239924427</v>
      </c>
      <c r="AP189" s="707">
        <f t="shared" si="503"/>
        <v>5.4104374277782606E-2</v>
      </c>
      <c r="AQ189" s="176">
        <f>SUM(AQ190:AQ196)</f>
        <v>0</v>
      </c>
      <c r="AR189" s="608" t="e">
        <f t="shared" si="475"/>
        <v>#DIV/0!</v>
      </c>
      <c r="AS189" s="707">
        <v>0</v>
      </c>
      <c r="AT189" s="176">
        <f>AV189</f>
        <v>561512.36285999999</v>
      </c>
      <c r="AU189" s="584">
        <f t="shared" si="526"/>
        <v>0.97477679810051232</v>
      </c>
      <c r="AV189" s="176">
        <f>AV190+AV191+AV192+AV193+AV194+AV195+AV196+AV197+AV198+AV199+AV200</f>
        <v>561512.36285999999</v>
      </c>
      <c r="AW189" s="373">
        <f t="shared" si="527"/>
        <v>0.97477679810051232</v>
      </c>
      <c r="AX189" s="176">
        <f>SUM(AX190:AX196)</f>
        <v>0</v>
      </c>
      <c r="AY189" s="261">
        <v>0</v>
      </c>
      <c r="AZ189" s="176">
        <f>BB189+BD189</f>
        <v>14529.623319999982</v>
      </c>
      <c r="BA189" s="262">
        <f t="shared" si="479"/>
        <v>2.5223201899487593E-2</v>
      </c>
      <c r="BB189" s="176">
        <f>SUM(BB190:BB200)</f>
        <v>14529.623319999982</v>
      </c>
      <c r="BC189" s="262">
        <f t="shared" si="480"/>
        <v>2.5223201899487593E-2</v>
      </c>
      <c r="BD189" s="176">
        <f>SUM(BD190:BD192)</f>
        <v>0</v>
      </c>
      <c r="BE189" s="443">
        <v>0</v>
      </c>
      <c r="BF189" s="176">
        <f t="shared" si="533"/>
        <v>561512.36285999999</v>
      </c>
      <c r="BG189" s="373">
        <f t="shared" si="494"/>
        <v>1</v>
      </c>
      <c r="BH189" s="176">
        <f>BH190+BH191+BH192+BH193+BH194+BH195+BH196+BH197++BH198+BH199</f>
        <v>561512.36285999999</v>
      </c>
      <c r="BI189" s="373">
        <f t="shared" si="495"/>
        <v>1</v>
      </c>
      <c r="BJ189" s="176">
        <f t="shared" ref="BJ189:BP189" si="534">SUM(BJ190:BJ196)</f>
        <v>0</v>
      </c>
      <c r="BK189" s="373">
        <v>0</v>
      </c>
      <c r="BL189" s="176">
        <f t="shared" ref="BL189:BL195" si="535">BN189+BP189</f>
        <v>0</v>
      </c>
      <c r="BM189" s="374">
        <f t="shared" si="505"/>
        <v>0</v>
      </c>
      <c r="BN189" s="176">
        <f>BN190+BN191+BN192+BN193+BN194+BN195+BN196+BN197++BN198+BN199</f>
        <v>0</v>
      </c>
      <c r="BO189" s="374">
        <f t="shared" si="497"/>
        <v>0</v>
      </c>
      <c r="BP189" s="176">
        <f t="shared" si="534"/>
        <v>0</v>
      </c>
      <c r="BQ189" s="374">
        <v>0</v>
      </c>
      <c r="BR189" s="486">
        <f>BT189</f>
        <v>14529.623319999982</v>
      </c>
      <c r="BS189" s="147">
        <f t="shared" si="488"/>
        <v>2.5223201899487593E-2</v>
      </c>
      <c r="BT189" s="176">
        <f>BT190+BT191+BT192+BT193+BT194+BT195+BT196+BT197+BT198+BT199+BT200</f>
        <v>14529.623319999982</v>
      </c>
      <c r="BU189" s="147">
        <f t="shared" si="489"/>
        <v>2.5223201899487593E-2</v>
      </c>
      <c r="BV189" s="176">
        <v>0</v>
      </c>
      <c r="BW189" s="147">
        <v>0</v>
      </c>
      <c r="BX189" s="175"/>
      <c r="BY189" s="265" t="e">
        <f t="shared" ref="BY189:BY196" si="536">AD189/S189</f>
        <v>#DIV/0!</v>
      </c>
      <c r="BZ189" s="176">
        <f>CB189+CD189</f>
        <v>0</v>
      </c>
      <c r="CA189" s="631">
        <f>SUM(BZ189/BT189)</f>
        <v>0</v>
      </c>
      <c r="CB189" s="176">
        <f>SUM(CB190:CB192)</f>
        <v>0</v>
      </c>
      <c r="CC189" s="631"/>
      <c r="CD189" s="176">
        <f>SUM(CD190:CD192)</f>
        <v>0</v>
      </c>
      <c r="CE189" s="631" t="e">
        <f>SUM(CD189/#REF!)</f>
        <v>#REF!</v>
      </c>
      <c r="CF189" s="161" t="s">
        <v>81</v>
      </c>
      <c r="CG189" s="161" t="s">
        <v>81</v>
      </c>
      <c r="CH189" s="176">
        <f>CI189+CJ189</f>
        <v>0</v>
      </c>
      <c r="CI189" s="267"/>
      <c r="CJ189" s="176">
        <f>CK189+CL189</f>
        <v>0</v>
      </c>
      <c r="CK189" s="268"/>
    </row>
    <row r="190" spans="2:89" s="42" customFormat="1" ht="35.25" hidden="1" customHeight="1">
      <c r="B190" s="705" t="s">
        <v>312</v>
      </c>
      <c r="C190" s="713" t="s">
        <v>313</v>
      </c>
      <c r="D190" s="706"/>
      <c r="E190" s="175">
        <f t="shared" si="530"/>
        <v>448097.09083</v>
      </c>
      <c r="F190" s="175">
        <v>448097.09083</v>
      </c>
      <c r="G190" s="175"/>
      <c r="H190" s="175">
        <f t="shared" si="531"/>
        <v>-21141.098750000005</v>
      </c>
      <c r="I190" s="175">
        <f t="shared" ref="I190:J194" si="537">L190-F190</f>
        <v>-21141.098750000005</v>
      </c>
      <c r="J190" s="175">
        <f t="shared" si="537"/>
        <v>0</v>
      </c>
      <c r="K190" s="714">
        <f t="shared" si="520"/>
        <v>426955.99208</v>
      </c>
      <c r="L190" s="176">
        <v>426955.99208</v>
      </c>
      <c r="M190" s="176">
        <v>0</v>
      </c>
      <c r="N190" s="176">
        <f>O190+P190</f>
        <v>31320.416329999978</v>
      </c>
      <c r="O190" s="176">
        <f>R190-L190</f>
        <v>31320.416329999978</v>
      </c>
      <c r="P190" s="176"/>
      <c r="Q190" s="175">
        <f t="shared" si="532"/>
        <v>458276.40840999997</v>
      </c>
      <c r="R190" s="175">
        <v>458276.40840999997</v>
      </c>
      <c r="S190" s="175"/>
      <c r="T190" s="176">
        <f>V190+X190</f>
        <v>395312.78788000002</v>
      </c>
      <c r="U190" s="607">
        <f t="shared" si="509"/>
        <v>0.86260776384179672</v>
      </c>
      <c r="V190" s="176">
        <v>395312.78788000002</v>
      </c>
      <c r="W190" s="607">
        <f t="shared" si="510"/>
        <v>0.86260776384179672</v>
      </c>
      <c r="X190" s="176"/>
      <c r="Y190" s="607">
        <v>0</v>
      </c>
      <c r="Z190" s="176">
        <f>AB190+AD190</f>
        <v>62963.620529999956</v>
      </c>
      <c r="AA190" s="607">
        <f t="shared" si="511"/>
        <v>0.13739223615820334</v>
      </c>
      <c r="AB190" s="176">
        <f>R190-V190</f>
        <v>62963.620529999956</v>
      </c>
      <c r="AC190" s="607">
        <f t="shared" si="513"/>
        <v>0.13739223615820334</v>
      </c>
      <c r="AD190" s="176"/>
      <c r="AE190" s="176">
        <f>AF190+AG190</f>
        <v>0</v>
      </c>
      <c r="AF190" s="176"/>
      <c r="AG190" s="176"/>
      <c r="AH190" s="176">
        <f>AI190+AJ190</f>
        <v>22228.000359999998</v>
      </c>
      <c r="AI190" s="176">
        <v>22228.000359999998</v>
      </c>
      <c r="AJ190" s="176"/>
      <c r="AK190" s="176">
        <f>AN190+AQ190</f>
        <v>0</v>
      </c>
      <c r="AL190" s="164">
        <f t="shared" si="472"/>
        <v>0</v>
      </c>
      <c r="AM190" s="707">
        <f t="shared" si="502"/>
        <v>0</v>
      </c>
      <c r="AN190" s="176">
        <v>0</v>
      </c>
      <c r="AO190" s="608">
        <f t="shared" si="474"/>
        <v>0</v>
      </c>
      <c r="AP190" s="707">
        <f t="shared" si="503"/>
        <v>0</v>
      </c>
      <c r="AQ190" s="176">
        <v>0</v>
      </c>
      <c r="AR190" s="608" t="e">
        <f t="shared" si="475"/>
        <v>#DIV/0!</v>
      </c>
      <c r="AS190" s="707">
        <v>0</v>
      </c>
      <c r="AT190" s="176">
        <f t="shared" ref="AT190:AT205" si="538">AV190+AX190</f>
        <v>425345.83863000001</v>
      </c>
      <c r="AU190" s="584">
        <f t="shared" si="526"/>
        <v>0.99622876015357975</v>
      </c>
      <c r="AV190" s="176">
        <v>425345.83863000001</v>
      </c>
      <c r="AW190" s="373">
        <f t="shared" si="527"/>
        <v>0.99622876015357975</v>
      </c>
      <c r="AX190" s="176">
        <f t="shared" ref="AX190:AX192" si="539">SUM(AX191:AX197)</f>
        <v>0</v>
      </c>
      <c r="AY190" s="261">
        <v>0</v>
      </c>
      <c r="AZ190" s="176">
        <f>BB190+BD190</f>
        <v>1610.1534499999834</v>
      </c>
      <c r="BA190" s="262">
        <f t="shared" si="479"/>
        <v>3.7712398464202473E-3</v>
      </c>
      <c r="BB190" s="176">
        <f t="shared" ref="BB190:BB200" si="540">L190-AV190</f>
        <v>1610.1534499999834</v>
      </c>
      <c r="BC190" s="262">
        <f t="shared" si="480"/>
        <v>3.7712398464202473E-3</v>
      </c>
      <c r="BD190" s="176">
        <f>G190-AX190</f>
        <v>0</v>
      </c>
      <c r="BE190" s="262">
        <v>0</v>
      </c>
      <c r="BF190" s="176">
        <f t="shared" si="533"/>
        <v>425345.83863000001</v>
      </c>
      <c r="BG190" s="373">
        <f t="shared" si="494"/>
        <v>1</v>
      </c>
      <c r="BH190" s="176">
        <f>'[3]по объектам (2)'!$H$307+30215.16828</f>
        <v>425345.83863000001</v>
      </c>
      <c r="BI190" s="373">
        <f t="shared" si="495"/>
        <v>1</v>
      </c>
      <c r="BJ190" s="176">
        <v>0</v>
      </c>
      <c r="BK190" s="373">
        <v>0</v>
      </c>
      <c r="BL190" s="176">
        <f t="shared" si="535"/>
        <v>0</v>
      </c>
      <c r="BM190" s="374">
        <f t="shared" si="505"/>
        <v>0</v>
      </c>
      <c r="BN190" s="176">
        <f>AV190-BH190</f>
        <v>0</v>
      </c>
      <c r="BO190" s="374">
        <f t="shared" si="497"/>
        <v>0</v>
      </c>
      <c r="BP190" s="176">
        <v>0</v>
      </c>
      <c r="BQ190" s="374">
        <v>0</v>
      </c>
      <c r="BR190" s="175">
        <f>BT190</f>
        <v>1610.1534499999834</v>
      </c>
      <c r="BS190" s="147">
        <f t="shared" si="488"/>
        <v>3.7712398464202473E-3</v>
      </c>
      <c r="BT190" s="176">
        <f t="shared" ref="BT190:BT200" si="541">L190-BH190</f>
        <v>1610.1534499999834</v>
      </c>
      <c r="BU190" s="147">
        <f t="shared" si="489"/>
        <v>3.7712398464202473E-3</v>
      </c>
      <c r="BV190" s="176">
        <v>0</v>
      </c>
      <c r="BW190" s="147">
        <v>0</v>
      </c>
      <c r="BX190" s="609"/>
      <c r="BY190" s="265" t="e">
        <f t="shared" si="536"/>
        <v>#DIV/0!</v>
      </c>
      <c r="BZ190" s="176">
        <f>CB190+CD190</f>
        <v>0</v>
      </c>
      <c r="CA190" s="631">
        <f>SUM(BZ190/BT190)</f>
        <v>0</v>
      </c>
      <c r="CB190" s="176"/>
      <c r="CC190" s="631"/>
      <c r="CD190" s="176"/>
      <c r="CE190" s="631" t="e">
        <f>SUM(CD190/#REF!)</f>
        <v>#REF!</v>
      </c>
      <c r="CF190" s="161" t="s">
        <v>81</v>
      </c>
      <c r="CG190" s="161" t="s">
        <v>81</v>
      </c>
      <c r="CH190" s="176">
        <f>CI190+CJ190</f>
        <v>0</v>
      </c>
      <c r="CI190" s="272"/>
      <c r="CJ190" s="176">
        <f>CK190+CL190</f>
        <v>0</v>
      </c>
      <c r="CK190" s="273"/>
    </row>
    <row r="191" spans="2:89" s="42" customFormat="1" ht="55.5" hidden="1" customHeight="1">
      <c r="B191" s="705" t="s">
        <v>314</v>
      </c>
      <c r="C191" s="713" t="s">
        <v>315</v>
      </c>
      <c r="D191" s="706"/>
      <c r="E191" s="175">
        <f t="shared" si="530"/>
        <v>12832.44361</v>
      </c>
      <c r="F191" s="175">
        <v>12832.44361</v>
      </c>
      <c r="G191" s="175"/>
      <c r="H191" s="175">
        <f t="shared" si="531"/>
        <v>8770.8029000000006</v>
      </c>
      <c r="I191" s="175">
        <f t="shared" si="537"/>
        <v>8770.8029000000006</v>
      </c>
      <c r="J191" s="175">
        <f t="shared" si="537"/>
        <v>0</v>
      </c>
      <c r="K191" s="714">
        <f t="shared" si="520"/>
        <v>21603.246510000001</v>
      </c>
      <c r="L191" s="176">
        <v>21603.246510000001</v>
      </c>
      <c r="M191" s="176">
        <v>0</v>
      </c>
      <c r="N191" s="176">
        <f>O191+P191</f>
        <v>766.65055999999822</v>
      </c>
      <c r="O191" s="176">
        <f t="shared" ref="O191:O197" si="542">R191-L191</f>
        <v>766.65055999999822</v>
      </c>
      <c r="P191" s="176"/>
      <c r="Q191" s="175">
        <f t="shared" si="532"/>
        <v>22369.897069999999</v>
      </c>
      <c r="R191" s="175">
        <v>22369.897069999999</v>
      </c>
      <c r="S191" s="175"/>
      <c r="T191" s="176">
        <f t="shared" ref="T191:T196" si="543">V191+X191</f>
        <v>23993.180199999999</v>
      </c>
      <c r="U191" s="607">
        <f t="shared" si="509"/>
        <v>1.0725655162793291</v>
      </c>
      <c r="V191" s="176">
        <v>23993.180199999999</v>
      </c>
      <c r="W191" s="607">
        <f t="shared" si="510"/>
        <v>1.0725655162793291</v>
      </c>
      <c r="X191" s="176"/>
      <c r="Y191" s="607">
        <v>0</v>
      </c>
      <c r="Z191" s="176">
        <f t="shared" ref="Z191:Z196" si="544">AB191+AD191</f>
        <v>-1623.2831299999998</v>
      </c>
      <c r="AA191" s="607">
        <f t="shared" si="511"/>
        <v>-7.2565516279329029E-2</v>
      </c>
      <c r="AB191" s="176">
        <f t="shared" ref="AB191:AB196" si="545">R191-V191</f>
        <v>-1623.2831299999998</v>
      </c>
      <c r="AC191" s="607">
        <f t="shared" si="513"/>
        <v>-7.2565516279329029E-2</v>
      </c>
      <c r="AD191" s="176"/>
      <c r="AE191" s="176">
        <f>AF191+AG191</f>
        <v>0</v>
      </c>
      <c r="AF191" s="176"/>
      <c r="AG191" s="176"/>
      <c r="AH191" s="176">
        <f>AI191+AJ191</f>
        <v>19049.403300000002</v>
      </c>
      <c r="AI191" s="176">
        <v>19049.403300000002</v>
      </c>
      <c r="AJ191" s="176"/>
      <c r="AK191" s="176">
        <f>AN191+AQ191</f>
        <v>5429.0245299999997</v>
      </c>
      <c r="AL191" s="164">
        <f t="shared" si="472"/>
        <v>0.28499709122122474</v>
      </c>
      <c r="AM191" s="707">
        <f t="shared" si="502"/>
        <v>0.25130595660642674</v>
      </c>
      <c r="AN191" s="176">
        <v>5429.0245299999997</v>
      </c>
      <c r="AO191" s="608">
        <f t="shared" si="474"/>
        <v>0.28499709122122474</v>
      </c>
      <c r="AP191" s="707">
        <f t="shared" si="503"/>
        <v>0.25130595660642674</v>
      </c>
      <c r="AQ191" s="176">
        <v>0</v>
      </c>
      <c r="AR191" s="608" t="e">
        <f t="shared" si="475"/>
        <v>#DIV/0!</v>
      </c>
      <c r="AS191" s="707">
        <v>0</v>
      </c>
      <c r="AT191" s="176">
        <f t="shared" si="538"/>
        <v>9989.2780600000006</v>
      </c>
      <c r="AU191" s="584">
        <f t="shared" si="526"/>
        <v>0.46239707792882101</v>
      </c>
      <c r="AV191" s="176">
        <v>9989.2780600000006</v>
      </c>
      <c r="AW191" s="373">
        <f t="shared" si="527"/>
        <v>0.46239707792882101</v>
      </c>
      <c r="AX191" s="176">
        <f t="shared" si="539"/>
        <v>0</v>
      </c>
      <c r="AY191" s="261">
        <v>0</v>
      </c>
      <c r="AZ191" s="176">
        <f t="shared" ref="AZ191:AZ200" si="546">BB191+BD191</f>
        <v>11613.96845</v>
      </c>
      <c r="BA191" s="262">
        <f t="shared" si="479"/>
        <v>0.53760292207117899</v>
      </c>
      <c r="BB191" s="176">
        <f t="shared" si="540"/>
        <v>11613.96845</v>
      </c>
      <c r="BC191" s="262">
        <f t="shared" si="480"/>
        <v>0.53760292207117899</v>
      </c>
      <c r="BD191" s="176">
        <f>G191-AX191</f>
        <v>0</v>
      </c>
      <c r="BE191" s="262">
        <v>0</v>
      </c>
      <c r="BF191" s="176">
        <f t="shared" si="533"/>
        <v>9989.2780600000006</v>
      </c>
      <c r="BG191" s="373">
        <f t="shared" si="494"/>
        <v>1</v>
      </c>
      <c r="BH191" s="176">
        <f>'[3]по объектам (2)'!$H$304</f>
        <v>9989.2780600000006</v>
      </c>
      <c r="BI191" s="373">
        <f t="shared" si="495"/>
        <v>1</v>
      </c>
      <c r="BJ191" s="176">
        <v>0</v>
      </c>
      <c r="BK191" s="373">
        <v>0</v>
      </c>
      <c r="BL191" s="176">
        <f t="shared" si="535"/>
        <v>0</v>
      </c>
      <c r="BM191" s="374">
        <f t="shared" si="505"/>
        <v>0</v>
      </c>
      <c r="BN191" s="176">
        <f t="shared" ref="BN191:BN200" si="547">AV191-BH191</f>
        <v>0</v>
      </c>
      <c r="BO191" s="374">
        <f t="shared" si="497"/>
        <v>0</v>
      </c>
      <c r="BP191" s="176">
        <v>0</v>
      </c>
      <c r="BQ191" s="374">
        <v>0</v>
      </c>
      <c r="BR191" s="175">
        <f t="shared" ref="BR191:BR205" si="548">BT191</f>
        <v>11613.96845</v>
      </c>
      <c r="BS191" s="147">
        <f t="shared" si="488"/>
        <v>0.53760292207117899</v>
      </c>
      <c r="BT191" s="176">
        <f t="shared" si="541"/>
        <v>11613.96845</v>
      </c>
      <c r="BU191" s="147">
        <f t="shared" si="489"/>
        <v>0.53760292207117899</v>
      </c>
      <c r="BV191" s="176">
        <v>0</v>
      </c>
      <c r="BW191" s="147">
        <v>0</v>
      </c>
      <c r="BX191" s="609" t="s">
        <v>316</v>
      </c>
      <c r="BY191" s="265" t="e">
        <f t="shared" si="536"/>
        <v>#DIV/0!</v>
      </c>
      <c r="BZ191" s="176">
        <f>CB191+CD191</f>
        <v>0</v>
      </c>
      <c r="CA191" s="631">
        <f>SUM(BZ191/BT191)</f>
        <v>0</v>
      </c>
      <c r="CB191" s="176"/>
      <c r="CC191" s="631"/>
      <c r="CD191" s="176"/>
      <c r="CE191" s="631"/>
      <c r="CF191" s="161" t="s">
        <v>81</v>
      </c>
      <c r="CG191" s="161" t="s">
        <v>81</v>
      </c>
      <c r="CH191" s="176">
        <f>CI191+CJ191</f>
        <v>0</v>
      </c>
      <c r="CI191" s="272"/>
      <c r="CJ191" s="176">
        <f>CK191+CL191</f>
        <v>0</v>
      </c>
      <c r="CK191" s="273"/>
    </row>
    <row r="192" spans="2:89" s="42" customFormat="1" ht="51.75" hidden="1" customHeight="1">
      <c r="B192" s="705" t="s">
        <v>317</v>
      </c>
      <c r="C192" s="713" t="s">
        <v>318</v>
      </c>
      <c r="D192" s="706"/>
      <c r="E192" s="175">
        <f t="shared" si="530"/>
        <v>31432.498220000001</v>
      </c>
      <c r="F192" s="175">
        <v>31432.498220000001</v>
      </c>
      <c r="G192" s="175"/>
      <c r="H192" s="175">
        <f t="shared" si="531"/>
        <v>-18552.370110000003</v>
      </c>
      <c r="I192" s="175">
        <f t="shared" si="537"/>
        <v>-18552.370110000003</v>
      </c>
      <c r="J192" s="175">
        <f t="shared" si="537"/>
        <v>0</v>
      </c>
      <c r="K192" s="714">
        <f t="shared" si="520"/>
        <v>12880.12811</v>
      </c>
      <c r="L192" s="176">
        <v>12880.12811</v>
      </c>
      <c r="M192" s="176">
        <v>0</v>
      </c>
      <c r="N192" s="176">
        <f>O192+P192</f>
        <v>5336.4594300000008</v>
      </c>
      <c r="O192" s="176">
        <f t="shared" si="542"/>
        <v>5336.4594300000008</v>
      </c>
      <c r="P192" s="176"/>
      <c r="Q192" s="175">
        <f t="shared" si="532"/>
        <v>18216.58754</v>
      </c>
      <c r="R192" s="175">
        <v>18216.58754</v>
      </c>
      <c r="S192" s="175"/>
      <c r="T192" s="176">
        <f t="shared" si="543"/>
        <v>17014.083569999999</v>
      </c>
      <c r="U192" s="607">
        <f t="shared" si="509"/>
        <v>0.93398851638049429</v>
      </c>
      <c r="V192" s="176">
        <v>17014.083569999999</v>
      </c>
      <c r="W192" s="607">
        <f t="shared" si="510"/>
        <v>0.93398851638049429</v>
      </c>
      <c r="X192" s="176"/>
      <c r="Y192" s="607">
        <v>0</v>
      </c>
      <c r="Z192" s="176">
        <f t="shared" si="544"/>
        <v>1202.5039700000016</v>
      </c>
      <c r="AA192" s="607">
        <f t="shared" si="511"/>
        <v>6.6011483619505693E-2</v>
      </c>
      <c r="AB192" s="176">
        <f t="shared" si="545"/>
        <v>1202.5039700000016</v>
      </c>
      <c r="AC192" s="607">
        <f t="shared" si="513"/>
        <v>6.6011483619505693E-2</v>
      </c>
      <c r="AD192" s="176"/>
      <c r="AE192" s="176">
        <f>AF192+AG192</f>
        <v>0</v>
      </c>
      <c r="AF192" s="176"/>
      <c r="AG192" s="176"/>
      <c r="AH192" s="176">
        <f>AI192+AJ192</f>
        <v>6896.7582400000001</v>
      </c>
      <c r="AI192" s="176">
        <v>6896.7582400000001</v>
      </c>
      <c r="AJ192" s="176"/>
      <c r="AK192" s="176">
        <f>AN192+AQ192</f>
        <v>2054.2937000000002</v>
      </c>
      <c r="AL192" s="164">
        <f t="shared" si="472"/>
        <v>0.29786366703206346</v>
      </c>
      <c r="AM192" s="707">
        <f t="shared" si="502"/>
        <v>0.15949326609609321</v>
      </c>
      <c r="AN192" s="176">
        <v>2054.2937000000002</v>
      </c>
      <c r="AO192" s="608">
        <f t="shared" si="474"/>
        <v>0.29786366703206346</v>
      </c>
      <c r="AP192" s="707">
        <f t="shared" si="503"/>
        <v>0.15949326609609321</v>
      </c>
      <c r="AQ192" s="176">
        <v>0</v>
      </c>
      <c r="AR192" s="608" t="e">
        <f t="shared" si="475"/>
        <v>#DIV/0!</v>
      </c>
      <c r="AS192" s="707">
        <v>0</v>
      </c>
      <c r="AT192" s="176">
        <f t="shared" si="538"/>
        <v>12880.12811</v>
      </c>
      <c r="AU192" s="584">
        <f t="shared" si="526"/>
        <v>1</v>
      </c>
      <c r="AV192" s="176">
        <f t="shared" ref="AV192:AV198" si="549">L192</f>
        <v>12880.12811</v>
      </c>
      <c r="AW192" s="373">
        <f t="shared" si="527"/>
        <v>1</v>
      </c>
      <c r="AX192" s="176">
        <f t="shared" si="539"/>
        <v>0</v>
      </c>
      <c r="AY192" s="261">
        <v>0</v>
      </c>
      <c r="AZ192" s="176">
        <f t="shared" si="546"/>
        <v>0</v>
      </c>
      <c r="BA192" s="262">
        <f t="shared" si="479"/>
        <v>0</v>
      </c>
      <c r="BB192" s="176">
        <f t="shared" si="540"/>
        <v>0</v>
      </c>
      <c r="BC192" s="262">
        <f t="shared" si="480"/>
        <v>0</v>
      </c>
      <c r="BD192" s="176">
        <f>G192-AX192</f>
        <v>0</v>
      </c>
      <c r="BE192" s="262">
        <v>0</v>
      </c>
      <c r="BF192" s="176">
        <f t="shared" si="533"/>
        <v>12880.12811</v>
      </c>
      <c r="BG192" s="373">
        <f t="shared" si="494"/>
        <v>1</v>
      </c>
      <c r="BH192" s="176">
        <v>12880.12811</v>
      </c>
      <c r="BI192" s="373">
        <f t="shared" si="495"/>
        <v>1</v>
      </c>
      <c r="BJ192" s="176">
        <v>0</v>
      </c>
      <c r="BK192" s="373">
        <v>0</v>
      </c>
      <c r="BL192" s="176">
        <f t="shared" si="535"/>
        <v>0</v>
      </c>
      <c r="BM192" s="374">
        <f t="shared" si="505"/>
        <v>0</v>
      </c>
      <c r="BN192" s="176">
        <f t="shared" si="547"/>
        <v>0</v>
      </c>
      <c r="BO192" s="374">
        <f t="shared" si="497"/>
        <v>0</v>
      </c>
      <c r="BP192" s="176">
        <v>0</v>
      </c>
      <c r="BQ192" s="374">
        <v>0</v>
      </c>
      <c r="BR192" s="175">
        <f t="shared" si="548"/>
        <v>0</v>
      </c>
      <c r="BS192" s="147">
        <f t="shared" si="488"/>
        <v>0</v>
      </c>
      <c r="BT192" s="176">
        <f t="shared" si="541"/>
        <v>0</v>
      </c>
      <c r="BU192" s="147">
        <f t="shared" si="489"/>
        <v>0</v>
      </c>
      <c r="BV192" s="176">
        <v>0</v>
      </c>
      <c r="BW192" s="147">
        <v>0</v>
      </c>
      <c r="BX192" s="303"/>
      <c r="BY192" s="265" t="e">
        <f t="shared" si="536"/>
        <v>#DIV/0!</v>
      </c>
      <c r="BZ192" s="176">
        <f>CB192+CD192</f>
        <v>0</v>
      </c>
      <c r="CA192" s="631" t="e">
        <f>SUM(BZ192/BT192)</f>
        <v>#DIV/0!</v>
      </c>
      <c r="CB192" s="176"/>
      <c r="CC192" s="631"/>
      <c r="CD192" s="176"/>
      <c r="CE192" s="631"/>
      <c r="CF192" s="161" t="s">
        <v>81</v>
      </c>
      <c r="CG192" s="161" t="s">
        <v>81</v>
      </c>
      <c r="CH192" s="176">
        <f>CI192+CJ192</f>
        <v>0</v>
      </c>
      <c r="CI192" s="272"/>
      <c r="CJ192" s="176">
        <f>CK192+CL192</f>
        <v>0</v>
      </c>
      <c r="CK192" s="273"/>
    </row>
    <row r="193" spans="2:89" s="42" customFormat="1" ht="41.25" hidden="1" customHeight="1">
      <c r="B193" s="705" t="s">
        <v>319</v>
      </c>
      <c r="C193" s="713" t="s">
        <v>320</v>
      </c>
      <c r="D193" s="706"/>
      <c r="E193" s="175">
        <f t="shared" si="530"/>
        <v>19996.85456</v>
      </c>
      <c r="F193" s="175">
        <v>19996.85456</v>
      </c>
      <c r="G193" s="175"/>
      <c r="H193" s="175">
        <f t="shared" si="531"/>
        <v>-9302.0742300000002</v>
      </c>
      <c r="I193" s="175">
        <f t="shared" si="537"/>
        <v>-9302.0742300000002</v>
      </c>
      <c r="J193" s="175">
        <f t="shared" si="537"/>
        <v>0</v>
      </c>
      <c r="K193" s="714">
        <f t="shared" si="520"/>
        <v>10694.78033</v>
      </c>
      <c r="L193" s="176">
        <f>R193</f>
        <v>10694.78033</v>
      </c>
      <c r="M193" s="176">
        <v>0</v>
      </c>
      <c r="N193" s="176">
        <f t="shared" ref="N193:N201" si="550">O193+P193</f>
        <v>0</v>
      </c>
      <c r="O193" s="176">
        <f t="shared" si="542"/>
        <v>0</v>
      </c>
      <c r="P193" s="176"/>
      <c r="Q193" s="175">
        <f t="shared" si="532"/>
        <v>10694.78033</v>
      </c>
      <c r="R193" s="175">
        <v>10694.78033</v>
      </c>
      <c r="S193" s="175"/>
      <c r="T193" s="176">
        <f t="shared" si="543"/>
        <v>19542.32876</v>
      </c>
      <c r="U193" s="607">
        <f t="shared" si="509"/>
        <v>1.8272772471241587</v>
      </c>
      <c r="V193" s="176">
        <v>19542.32876</v>
      </c>
      <c r="W193" s="607">
        <f t="shared" si="510"/>
        <v>1.8272772471241587</v>
      </c>
      <c r="X193" s="176"/>
      <c r="Y193" s="607">
        <v>0</v>
      </c>
      <c r="Z193" s="176">
        <f t="shared" si="544"/>
        <v>-8847.5484300000007</v>
      </c>
      <c r="AA193" s="607">
        <f t="shared" si="511"/>
        <v>-0.82727724712415862</v>
      </c>
      <c r="AB193" s="176">
        <f t="shared" si="545"/>
        <v>-8847.5484300000007</v>
      </c>
      <c r="AC193" s="607">
        <f t="shared" si="513"/>
        <v>-0.82727724712415862</v>
      </c>
      <c r="AD193" s="176"/>
      <c r="AE193" s="176"/>
      <c r="AF193" s="176"/>
      <c r="AG193" s="176"/>
      <c r="AH193" s="176"/>
      <c r="AI193" s="176"/>
      <c r="AJ193" s="176"/>
      <c r="AK193" s="176">
        <f>AN193+AQ193</f>
        <v>0</v>
      </c>
      <c r="AL193" s="164" t="e">
        <f t="shared" si="472"/>
        <v>#DIV/0!</v>
      </c>
      <c r="AM193" s="707">
        <f t="shared" si="502"/>
        <v>0</v>
      </c>
      <c r="AN193" s="176">
        <v>0</v>
      </c>
      <c r="AO193" s="608" t="e">
        <f t="shared" si="474"/>
        <v>#DIV/0!</v>
      </c>
      <c r="AP193" s="707">
        <f t="shared" si="503"/>
        <v>0</v>
      </c>
      <c r="AQ193" s="176">
        <v>0</v>
      </c>
      <c r="AR193" s="608" t="e">
        <f t="shared" si="475"/>
        <v>#DIV/0!</v>
      </c>
      <c r="AS193" s="707">
        <v>0</v>
      </c>
      <c r="AT193" s="176">
        <f t="shared" si="538"/>
        <v>10694.78033</v>
      </c>
      <c r="AU193" s="584">
        <f t="shared" si="526"/>
        <v>1</v>
      </c>
      <c r="AV193" s="176">
        <f t="shared" si="549"/>
        <v>10694.78033</v>
      </c>
      <c r="AW193" s="373">
        <f t="shared" si="527"/>
        <v>1</v>
      </c>
      <c r="AX193" s="176">
        <f>SUM(AX194:AX201)</f>
        <v>0</v>
      </c>
      <c r="AY193" s="261">
        <v>0</v>
      </c>
      <c r="AZ193" s="176">
        <f t="shared" si="546"/>
        <v>0</v>
      </c>
      <c r="BA193" s="262">
        <f t="shared" si="479"/>
        <v>0</v>
      </c>
      <c r="BB193" s="176">
        <f t="shared" si="540"/>
        <v>0</v>
      </c>
      <c r="BC193" s="262">
        <f t="shared" si="480"/>
        <v>0</v>
      </c>
      <c r="BD193" s="176">
        <f>G193-AX193</f>
        <v>0</v>
      </c>
      <c r="BE193" s="262">
        <v>0</v>
      </c>
      <c r="BF193" s="176">
        <f t="shared" si="533"/>
        <v>10694.78033</v>
      </c>
      <c r="BG193" s="373">
        <f t="shared" si="494"/>
        <v>1</v>
      </c>
      <c r="BH193" s="176">
        <f>'[3]по объектам (2)'!$H$309</f>
        <v>10694.78033</v>
      </c>
      <c r="BI193" s="373">
        <f t="shared" si="495"/>
        <v>1</v>
      </c>
      <c r="BJ193" s="176">
        <v>0</v>
      </c>
      <c r="BK193" s="373">
        <v>0</v>
      </c>
      <c r="BL193" s="176">
        <f t="shared" si="535"/>
        <v>0</v>
      </c>
      <c r="BM193" s="374">
        <f t="shared" si="505"/>
        <v>0</v>
      </c>
      <c r="BN193" s="176">
        <f t="shared" si="547"/>
        <v>0</v>
      </c>
      <c r="BO193" s="374">
        <f t="shared" si="497"/>
        <v>0</v>
      </c>
      <c r="BP193" s="176">
        <v>0</v>
      </c>
      <c r="BQ193" s="374">
        <v>0</v>
      </c>
      <c r="BR193" s="176">
        <f t="shared" si="548"/>
        <v>0</v>
      </c>
      <c r="BS193" s="147">
        <f t="shared" si="488"/>
        <v>0</v>
      </c>
      <c r="BT193" s="176">
        <f t="shared" si="541"/>
        <v>0</v>
      </c>
      <c r="BU193" s="147">
        <f t="shared" si="489"/>
        <v>0</v>
      </c>
      <c r="BV193" s="176">
        <v>0</v>
      </c>
      <c r="BW193" s="147">
        <v>0</v>
      </c>
      <c r="BX193" s="303"/>
      <c r="BY193" s="265" t="e">
        <f t="shared" si="536"/>
        <v>#DIV/0!</v>
      </c>
      <c r="BZ193" s="176"/>
      <c r="CA193" s="631"/>
      <c r="CB193" s="176"/>
      <c r="CC193" s="631"/>
      <c r="CD193" s="176"/>
      <c r="CE193" s="631"/>
      <c r="CF193" s="161" t="s">
        <v>81</v>
      </c>
      <c r="CG193" s="161" t="s">
        <v>81</v>
      </c>
      <c r="CH193" s="176"/>
      <c r="CI193" s="272"/>
      <c r="CJ193" s="176"/>
      <c r="CK193" s="273"/>
    </row>
    <row r="194" spans="2:89" s="42" customFormat="1" ht="63.75" hidden="1" customHeight="1">
      <c r="B194" s="705" t="s">
        <v>321</v>
      </c>
      <c r="C194" s="713" t="s">
        <v>322</v>
      </c>
      <c r="D194" s="706"/>
      <c r="E194" s="175">
        <f>F194+G194</f>
        <v>0</v>
      </c>
      <c r="F194" s="175">
        <v>0</v>
      </c>
      <c r="G194" s="175"/>
      <c r="H194" s="175">
        <f>I194+J194</f>
        <v>9903.7498699999996</v>
      </c>
      <c r="I194" s="175">
        <f t="shared" si="537"/>
        <v>9903.7498699999996</v>
      </c>
      <c r="J194" s="175">
        <f t="shared" si="537"/>
        <v>0</v>
      </c>
      <c r="K194" s="714">
        <f t="shared" si="520"/>
        <v>9903.7498699999996</v>
      </c>
      <c r="L194" s="176">
        <v>9903.7498699999996</v>
      </c>
      <c r="M194" s="176">
        <v>0</v>
      </c>
      <c r="N194" s="176">
        <f t="shared" si="550"/>
        <v>-6917.69463</v>
      </c>
      <c r="O194" s="176">
        <f t="shared" si="542"/>
        <v>-6917.69463</v>
      </c>
      <c r="P194" s="176"/>
      <c r="Q194" s="175">
        <f t="shared" si="532"/>
        <v>2986.0552400000001</v>
      </c>
      <c r="R194" s="175">
        <v>2986.0552400000001</v>
      </c>
      <c r="S194" s="175"/>
      <c r="T194" s="176">
        <f t="shared" si="543"/>
        <v>22597.863519999999</v>
      </c>
      <c r="U194" s="607">
        <f t="shared" si="509"/>
        <v>7.5677982166197291</v>
      </c>
      <c r="V194" s="176">
        <v>22597.863519999999</v>
      </c>
      <c r="W194" s="607">
        <f t="shared" si="510"/>
        <v>7.5677982166197291</v>
      </c>
      <c r="X194" s="176"/>
      <c r="Y194" s="607">
        <v>0</v>
      </c>
      <c r="Z194" s="176">
        <f t="shared" si="544"/>
        <v>-19611.808279999997</v>
      </c>
      <c r="AA194" s="607">
        <f t="shared" si="511"/>
        <v>-6.5677982166197291</v>
      </c>
      <c r="AB194" s="176">
        <f t="shared" si="545"/>
        <v>-19611.808279999997</v>
      </c>
      <c r="AC194" s="607">
        <f t="shared" si="513"/>
        <v>-6.5677982166197291</v>
      </c>
      <c r="AD194" s="176"/>
      <c r="AE194" s="176"/>
      <c r="AF194" s="176"/>
      <c r="AG194" s="176"/>
      <c r="AH194" s="176"/>
      <c r="AI194" s="176"/>
      <c r="AJ194" s="176"/>
      <c r="AK194" s="176">
        <f>AN194</f>
        <v>2986.0552400000001</v>
      </c>
      <c r="AL194" s="164" t="e">
        <f t="shared" si="472"/>
        <v>#DIV/0!</v>
      </c>
      <c r="AM194" s="707">
        <f t="shared" si="502"/>
        <v>0.30150753797258412</v>
      </c>
      <c r="AN194" s="176">
        <f>R194</f>
        <v>2986.0552400000001</v>
      </c>
      <c r="AO194" s="608" t="e">
        <f t="shared" si="474"/>
        <v>#DIV/0!</v>
      </c>
      <c r="AP194" s="707">
        <f t="shared" si="503"/>
        <v>0.30150753797258412</v>
      </c>
      <c r="AQ194" s="176">
        <v>0</v>
      </c>
      <c r="AR194" s="608" t="e">
        <f t="shared" si="475"/>
        <v>#DIV/0!</v>
      </c>
      <c r="AS194" s="707">
        <v>0</v>
      </c>
      <c r="AT194" s="176">
        <f t="shared" si="538"/>
        <v>9903.7498699999996</v>
      </c>
      <c r="AU194" s="584">
        <f t="shared" si="526"/>
        <v>1</v>
      </c>
      <c r="AV194" s="176">
        <f t="shared" si="549"/>
        <v>9903.7498699999996</v>
      </c>
      <c r="AW194" s="373">
        <f t="shared" si="527"/>
        <v>1</v>
      </c>
      <c r="AX194" s="176">
        <f>SUM(AX195:AX202)</f>
        <v>0</v>
      </c>
      <c r="AY194" s="261">
        <v>0</v>
      </c>
      <c r="AZ194" s="176">
        <f t="shared" si="546"/>
        <v>0</v>
      </c>
      <c r="BA194" s="262">
        <f t="shared" si="479"/>
        <v>0</v>
      </c>
      <c r="BB194" s="176">
        <f t="shared" si="540"/>
        <v>0</v>
      </c>
      <c r="BC194" s="262">
        <f t="shared" si="480"/>
        <v>0</v>
      </c>
      <c r="BD194" s="176">
        <v>0</v>
      </c>
      <c r="BE194" s="262">
        <v>0</v>
      </c>
      <c r="BF194" s="176">
        <f t="shared" si="533"/>
        <v>9903.7498699999996</v>
      </c>
      <c r="BG194" s="373">
        <f t="shared" si="494"/>
        <v>1</v>
      </c>
      <c r="BH194" s="176">
        <v>9903.7498699999996</v>
      </c>
      <c r="BI194" s="373">
        <f t="shared" si="495"/>
        <v>1</v>
      </c>
      <c r="BJ194" s="176">
        <v>0</v>
      </c>
      <c r="BK194" s="373">
        <v>0</v>
      </c>
      <c r="BL194" s="176">
        <f t="shared" si="535"/>
        <v>0</v>
      </c>
      <c r="BM194" s="374">
        <f t="shared" si="505"/>
        <v>0</v>
      </c>
      <c r="BN194" s="176">
        <f t="shared" si="547"/>
        <v>0</v>
      </c>
      <c r="BO194" s="374">
        <f t="shared" si="497"/>
        <v>0</v>
      </c>
      <c r="BP194" s="176">
        <v>0</v>
      </c>
      <c r="BQ194" s="374">
        <v>0</v>
      </c>
      <c r="BR194" s="175">
        <f t="shared" si="548"/>
        <v>0</v>
      </c>
      <c r="BS194" s="147">
        <f t="shared" si="488"/>
        <v>0</v>
      </c>
      <c r="BT194" s="176">
        <f t="shared" si="541"/>
        <v>0</v>
      </c>
      <c r="BU194" s="147">
        <f t="shared" si="489"/>
        <v>0</v>
      </c>
      <c r="BV194" s="176">
        <v>0</v>
      </c>
      <c r="BW194" s="147">
        <v>0</v>
      </c>
      <c r="BX194" s="303"/>
      <c r="BY194" s="265" t="e">
        <f t="shared" si="536"/>
        <v>#DIV/0!</v>
      </c>
      <c r="BZ194" s="176"/>
      <c r="CA194" s="631"/>
      <c r="CB194" s="176"/>
      <c r="CC194" s="631"/>
      <c r="CD194" s="176"/>
      <c r="CE194" s="631"/>
      <c r="CF194" s="161" t="s">
        <v>81</v>
      </c>
      <c r="CG194" s="161" t="s">
        <v>81</v>
      </c>
      <c r="CH194" s="176"/>
      <c r="CI194" s="272"/>
      <c r="CJ194" s="176"/>
      <c r="CK194" s="273"/>
    </row>
    <row r="195" spans="2:89" s="42" customFormat="1" ht="63.75" hidden="1" customHeight="1">
      <c r="B195" s="705" t="s">
        <v>323</v>
      </c>
      <c r="C195" s="715" t="s">
        <v>324</v>
      </c>
      <c r="D195" s="706"/>
      <c r="E195" s="175">
        <f>F195+G195</f>
        <v>24799.37341</v>
      </c>
      <c r="F195" s="175">
        <v>24799.37341</v>
      </c>
      <c r="G195" s="175"/>
      <c r="H195" s="175">
        <f>I195+J195</f>
        <v>-14948.38114</v>
      </c>
      <c r="I195" s="175">
        <f>L195-F195</f>
        <v>-14948.38114</v>
      </c>
      <c r="J195" s="175">
        <f>M195-G195</f>
        <v>0</v>
      </c>
      <c r="K195" s="714">
        <f t="shared" si="520"/>
        <v>9850.9922700000006</v>
      </c>
      <c r="L195" s="176">
        <f>R195</f>
        <v>9850.9922700000006</v>
      </c>
      <c r="M195" s="176">
        <v>0</v>
      </c>
      <c r="N195" s="176">
        <f t="shared" si="550"/>
        <v>0</v>
      </c>
      <c r="O195" s="176">
        <f t="shared" si="542"/>
        <v>0</v>
      </c>
      <c r="P195" s="176"/>
      <c r="Q195" s="175">
        <f t="shared" si="532"/>
        <v>9850.9922700000006</v>
      </c>
      <c r="R195" s="175">
        <v>9850.9922700000006</v>
      </c>
      <c r="S195" s="175"/>
      <c r="T195" s="176">
        <f t="shared" si="543"/>
        <v>14949.793610000001</v>
      </c>
      <c r="U195" s="607">
        <f t="shared" si="509"/>
        <v>1.5175926648047202</v>
      </c>
      <c r="V195" s="176">
        <v>14949.793610000001</v>
      </c>
      <c r="W195" s="607">
        <f t="shared" si="510"/>
        <v>1.5175926648047202</v>
      </c>
      <c r="X195" s="176"/>
      <c r="Y195" s="607">
        <v>0</v>
      </c>
      <c r="Z195" s="176">
        <f t="shared" si="544"/>
        <v>-5098.80134</v>
      </c>
      <c r="AA195" s="607">
        <f t="shared" si="511"/>
        <v>-0.51759266480472021</v>
      </c>
      <c r="AB195" s="176">
        <f t="shared" si="545"/>
        <v>-5098.80134</v>
      </c>
      <c r="AC195" s="607">
        <f t="shared" si="513"/>
        <v>-0.51759266480472021</v>
      </c>
      <c r="AD195" s="176"/>
      <c r="AE195" s="176"/>
      <c r="AF195" s="176"/>
      <c r="AG195" s="176"/>
      <c r="AH195" s="176"/>
      <c r="AI195" s="176"/>
      <c r="AJ195" s="176"/>
      <c r="AK195" s="176">
        <f>AN195+AQ195</f>
        <v>0</v>
      </c>
      <c r="AL195" s="164" t="e">
        <f t="shared" si="472"/>
        <v>#DIV/0!</v>
      </c>
      <c r="AM195" s="707">
        <f t="shared" si="502"/>
        <v>0</v>
      </c>
      <c r="AN195" s="176">
        <v>0</v>
      </c>
      <c r="AO195" s="608" t="e">
        <f t="shared" si="474"/>
        <v>#DIV/0!</v>
      </c>
      <c r="AP195" s="707">
        <f t="shared" si="503"/>
        <v>0</v>
      </c>
      <c r="AQ195" s="176">
        <v>0</v>
      </c>
      <c r="AR195" s="608" t="e">
        <f t="shared" si="475"/>
        <v>#DIV/0!</v>
      </c>
      <c r="AS195" s="707">
        <v>0</v>
      </c>
      <c r="AT195" s="176">
        <f t="shared" si="538"/>
        <v>9850.9922700000006</v>
      </c>
      <c r="AU195" s="584">
        <f t="shared" si="526"/>
        <v>1</v>
      </c>
      <c r="AV195" s="176">
        <f t="shared" si="549"/>
        <v>9850.9922700000006</v>
      </c>
      <c r="AW195" s="373">
        <f t="shared" si="527"/>
        <v>1</v>
      </c>
      <c r="AX195" s="176">
        <f>SUM(AX196:AX203)</f>
        <v>0</v>
      </c>
      <c r="AY195" s="261">
        <v>0</v>
      </c>
      <c r="AZ195" s="176">
        <f t="shared" si="546"/>
        <v>0</v>
      </c>
      <c r="BA195" s="262">
        <f t="shared" si="479"/>
        <v>0</v>
      </c>
      <c r="BB195" s="176">
        <f t="shared" si="540"/>
        <v>0</v>
      </c>
      <c r="BC195" s="262">
        <f t="shared" si="480"/>
        <v>0</v>
      </c>
      <c r="BD195" s="176">
        <v>0</v>
      </c>
      <c r="BE195" s="262">
        <v>0</v>
      </c>
      <c r="BF195" s="176">
        <f t="shared" si="533"/>
        <v>9850.9922700000006</v>
      </c>
      <c r="BG195" s="373">
        <f t="shared" si="494"/>
        <v>1</v>
      </c>
      <c r="BH195" s="176">
        <v>9850.9922700000006</v>
      </c>
      <c r="BI195" s="373">
        <f t="shared" si="495"/>
        <v>1</v>
      </c>
      <c r="BJ195" s="176">
        <v>0</v>
      </c>
      <c r="BK195" s="373">
        <v>0</v>
      </c>
      <c r="BL195" s="176">
        <f t="shared" si="535"/>
        <v>0</v>
      </c>
      <c r="BM195" s="374">
        <f t="shared" si="505"/>
        <v>0</v>
      </c>
      <c r="BN195" s="176">
        <f t="shared" si="547"/>
        <v>0</v>
      </c>
      <c r="BO195" s="374">
        <f t="shared" si="497"/>
        <v>0</v>
      </c>
      <c r="BP195" s="176">
        <v>0</v>
      </c>
      <c r="BQ195" s="374">
        <v>0</v>
      </c>
      <c r="BR195" s="176">
        <f t="shared" si="548"/>
        <v>0</v>
      </c>
      <c r="BS195" s="147">
        <f t="shared" si="488"/>
        <v>0</v>
      </c>
      <c r="BT195" s="176">
        <f t="shared" si="541"/>
        <v>0</v>
      </c>
      <c r="BU195" s="147">
        <f t="shared" si="489"/>
        <v>0</v>
      </c>
      <c r="BV195" s="176">
        <v>0</v>
      </c>
      <c r="BW195" s="147">
        <v>0</v>
      </c>
      <c r="BX195" s="303"/>
      <c r="BY195" s="265" t="e">
        <f t="shared" si="536"/>
        <v>#DIV/0!</v>
      </c>
      <c r="BZ195" s="176"/>
      <c r="CA195" s="631"/>
      <c r="CB195" s="176"/>
      <c r="CC195" s="631"/>
      <c r="CD195" s="176"/>
      <c r="CE195" s="631"/>
      <c r="CF195" s="161" t="s">
        <v>81</v>
      </c>
      <c r="CG195" s="161" t="s">
        <v>81</v>
      </c>
      <c r="CH195" s="176"/>
      <c r="CI195" s="272"/>
      <c r="CJ195" s="176"/>
      <c r="CK195" s="273"/>
    </row>
    <row r="196" spans="2:89" s="42" customFormat="1" ht="76.5" hidden="1" customHeight="1">
      <c r="B196" s="705" t="s">
        <v>325</v>
      </c>
      <c r="C196" s="715" t="s">
        <v>326</v>
      </c>
      <c r="D196" s="706"/>
      <c r="E196" s="175">
        <f>F196+G196</f>
        <v>10659.08554</v>
      </c>
      <c r="F196" s="175">
        <v>10659.08554</v>
      </c>
      <c r="G196" s="175"/>
      <c r="H196" s="175">
        <f>I196+J196</f>
        <v>-1466.8416699999998</v>
      </c>
      <c r="I196" s="175">
        <f>L196-F196</f>
        <v>-1466.8416699999998</v>
      </c>
      <c r="J196" s="175">
        <f>M196-G196</f>
        <v>0</v>
      </c>
      <c r="K196" s="714">
        <f t="shared" si="520"/>
        <v>9192.2438700000002</v>
      </c>
      <c r="L196" s="176">
        <f>R196</f>
        <v>9192.2438700000002</v>
      </c>
      <c r="M196" s="176">
        <v>0</v>
      </c>
      <c r="N196" s="176">
        <f t="shared" si="550"/>
        <v>0</v>
      </c>
      <c r="O196" s="176">
        <f t="shared" si="542"/>
        <v>0</v>
      </c>
      <c r="P196" s="176"/>
      <c r="Q196" s="175">
        <f t="shared" si="532"/>
        <v>9192.2438700000002</v>
      </c>
      <c r="R196" s="175">
        <v>9192.2438700000002</v>
      </c>
      <c r="S196" s="175"/>
      <c r="T196" s="176">
        <f t="shared" si="543"/>
        <v>70652.816829999996</v>
      </c>
      <c r="U196" s="607">
        <f t="shared" si="509"/>
        <v>7.6861338568903737</v>
      </c>
      <c r="V196" s="176">
        <v>70652.816829999996</v>
      </c>
      <c r="W196" s="607">
        <f t="shared" si="510"/>
        <v>7.6861338568903737</v>
      </c>
      <c r="X196" s="176"/>
      <c r="Y196" s="607">
        <v>0</v>
      </c>
      <c r="Z196" s="176">
        <f t="shared" si="544"/>
        <v>-61460.572959999998</v>
      </c>
      <c r="AA196" s="607">
        <f t="shared" si="511"/>
        <v>-6.6861338568903737</v>
      </c>
      <c r="AB196" s="176">
        <f t="shared" si="545"/>
        <v>-61460.572959999998</v>
      </c>
      <c r="AC196" s="607">
        <f t="shared" si="513"/>
        <v>-6.6861338568903737</v>
      </c>
      <c r="AD196" s="176"/>
      <c r="AE196" s="176"/>
      <c r="AF196" s="176"/>
      <c r="AG196" s="176"/>
      <c r="AH196" s="176"/>
      <c r="AI196" s="176"/>
      <c r="AJ196" s="176"/>
      <c r="AK196" s="176">
        <f>AN196+AQ196</f>
        <v>5995.3402900000001</v>
      </c>
      <c r="AL196" s="164" t="e">
        <f t="shared" si="472"/>
        <v>#DIV/0!</v>
      </c>
      <c r="AM196" s="707">
        <f t="shared" si="502"/>
        <v>0.65221727956614794</v>
      </c>
      <c r="AN196" s="176">
        <v>5995.3402900000001</v>
      </c>
      <c r="AO196" s="608" t="e">
        <f t="shared" si="474"/>
        <v>#DIV/0!</v>
      </c>
      <c r="AP196" s="707">
        <f t="shared" si="503"/>
        <v>0.65221727956614794</v>
      </c>
      <c r="AQ196" s="176">
        <v>0</v>
      </c>
      <c r="AR196" s="608" t="e">
        <f t="shared" si="475"/>
        <v>#DIV/0!</v>
      </c>
      <c r="AS196" s="707">
        <v>0</v>
      </c>
      <c r="AT196" s="176">
        <f t="shared" si="538"/>
        <v>9192.2438700000002</v>
      </c>
      <c r="AU196" s="584">
        <f t="shared" si="526"/>
        <v>1</v>
      </c>
      <c r="AV196" s="176">
        <f t="shared" si="549"/>
        <v>9192.2438700000002</v>
      </c>
      <c r="AW196" s="373">
        <f t="shared" si="527"/>
        <v>1</v>
      </c>
      <c r="AX196" s="176">
        <f>SUM(AX197:AX204)</f>
        <v>0</v>
      </c>
      <c r="AY196" s="261">
        <v>0</v>
      </c>
      <c r="AZ196" s="176">
        <f t="shared" si="546"/>
        <v>0</v>
      </c>
      <c r="BA196" s="262">
        <f t="shared" si="479"/>
        <v>0</v>
      </c>
      <c r="BB196" s="176">
        <f t="shared" si="540"/>
        <v>0</v>
      </c>
      <c r="BC196" s="262">
        <f t="shared" si="480"/>
        <v>0</v>
      </c>
      <c r="BD196" s="176">
        <f>G196-AX196</f>
        <v>0</v>
      </c>
      <c r="BE196" s="262">
        <v>0</v>
      </c>
      <c r="BF196" s="176">
        <f>BH196</f>
        <v>9192.2438700000002</v>
      </c>
      <c r="BG196" s="373">
        <f t="shared" si="494"/>
        <v>1</v>
      </c>
      <c r="BH196" s="176">
        <v>9192.2438700000002</v>
      </c>
      <c r="BI196" s="373">
        <f t="shared" si="495"/>
        <v>1</v>
      </c>
      <c r="BJ196" s="176">
        <v>0</v>
      </c>
      <c r="BK196" s="373">
        <v>0</v>
      </c>
      <c r="BL196" s="176">
        <f>BN196</f>
        <v>0</v>
      </c>
      <c r="BM196" s="374">
        <f t="shared" si="505"/>
        <v>0</v>
      </c>
      <c r="BN196" s="176">
        <f t="shared" si="547"/>
        <v>0</v>
      </c>
      <c r="BO196" s="374">
        <f t="shared" si="497"/>
        <v>0</v>
      </c>
      <c r="BP196" s="176">
        <v>0</v>
      </c>
      <c r="BQ196" s="374">
        <v>0</v>
      </c>
      <c r="BR196" s="176">
        <f t="shared" si="548"/>
        <v>0</v>
      </c>
      <c r="BS196" s="147">
        <f t="shared" si="488"/>
        <v>0</v>
      </c>
      <c r="BT196" s="176">
        <f t="shared" si="541"/>
        <v>0</v>
      </c>
      <c r="BU196" s="147">
        <f t="shared" si="489"/>
        <v>0</v>
      </c>
      <c r="BV196" s="176">
        <v>0</v>
      </c>
      <c r="BW196" s="147">
        <v>0</v>
      </c>
      <c r="BX196" s="175"/>
      <c r="BY196" s="265" t="e">
        <f t="shared" si="536"/>
        <v>#DIV/0!</v>
      </c>
      <c r="BZ196" s="176"/>
      <c r="CA196" s="631"/>
      <c r="CB196" s="176"/>
      <c r="CC196" s="631"/>
      <c r="CD196" s="176"/>
      <c r="CE196" s="631"/>
      <c r="CF196" s="161" t="s">
        <v>81</v>
      </c>
      <c r="CG196" s="161" t="s">
        <v>81</v>
      </c>
      <c r="CH196" s="176"/>
      <c r="CI196" s="272"/>
      <c r="CJ196" s="176"/>
      <c r="CK196" s="273"/>
    </row>
    <row r="197" spans="2:89" s="42" customFormat="1" ht="94.5" hidden="1" customHeight="1">
      <c r="B197" s="705" t="s">
        <v>327</v>
      </c>
      <c r="C197" s="715" t="s">
        <v>328</v>
      </c>
      <c r="D197" s="706"/>
      <c r="E197" s="175"/>
      <c r="F197" s="175"/>
      <c r="G197" s="175"/>
      <c r="H197" s="175"/>
      <c r="I197" s="175"/>
      <c r="J197" s="175">
        <f>M197-G197</f>
        <v>0</v>
      </c>
      <c r="K197" s="714">
        <f t="shared" si="520"/>
        <v>40932.373679999997</v>
      </c>
      <c r="L197" s="176">
        <v>40932.373679999997</v>
      </c>
      <c r="M197" s="176">
        <v>0</v>
      </c>
      <c r="N197" s="176">
        <f t="shared" si="550"/>
        <v>-22856.405899999998</v>
      </c>
      <c r="O197" s="176">
        <f t="shared" si="542"/>
        <v>-22856.405899999998</v>
      </c>
      <c r="P197" s="176"/>
      <c r="Q197" s="175">
        <f t="shared" si="532"/>
        <v>18075.967779999999</v>
      </c>
      <c r="R197" s="175">
        <v>18075.967779999999</v>
      </c>
      <c r="S197" s="175"/>
      <c r="T197" s="176"/>
      <c r="U197" s="607"/>
      <c r="V197" s="176"/>
      <c r="W197" s="607"/>
      <c r="X197" s="176"/>
      <c r="Y197" s="607"/>
      <c r="Z197" s="176"/>
      <c r="AA197" s="607"/>
      <c r="AB197" s="176"/>
      <c r="AC197" s="607"/>
      <c r="AD197" s="176"/>
      <c r="AE197" s="176"/>
      <c r="AF197" s="176"/>
      <c r="AG197" s="176"/>
      <c r="AH197" s="176"/>
      <c r="AI197" s="176"/>
      <c r="AJ197" s="176"/>
      <c r="AK197" s="176">
        <f>AN197+AQ197</f>
        <v>14701.677460000001</v>
      </c>
      <c r="AL197" s="164"/>
      <c r="AM197" s="707">
        <f t="shared" si="502"/>
        <v>0.35916992195308234</v>
      </c>
      <c r="AN197" s="176">
        <v>14701.677460000001</v>
      </c>
      <c r="AO197" s="608"/>
      <c r="AP197" s="707">
        <f t="shared" si="503"/>
        <v>0.35916992195308234</v>
      </c>
      <c r="AQ197" s="176">
        <v>0</v>
      </c>
      <c r="AR197" s="608"/>
      <c r="AS197" s="707">
        <v>0</v>
      </c>
      <c r="AT197" s="176">
        <f t="shared" si="538"/>
        <v>40793.96185</v>
      </c>
      <c r="AU197" s="584">
        <f t="shared" si="526"/>
        <v>0.99661852422529729</v>
      </c>
      <c r="AV197" s="176">
        <v>40793.96185</v>
      </c>
      <c r="AW197" s="373">
        <f t="shared" si="527"/>
        <v>0.99661852422529729</v>
      </c>
      <c r="AX197" s="176">
        <v>0</v>
      </c>
      <c r="AY197" s="261">
        <v>0</v>
      </c>
      <c r="AZ197" s="176">
        <f t="shared" si="546"/>
        <v>138.41182999999728</v>
      </c>
      <c r="BA197" s="262">
        <f t="shared" si="479"/>
        <v>3.3814757747026728E-3</v>
      </c>
      <c r="BB197" s="176">
        <f t="shared" si="540"/>
        <v>138.41182999999728</v>
      </c>
      <c r="BC197" s="262">
        <f t="shared" si="480"/>
        <v>3.3814757747026728E-3</v>
      </c>
      <c r="BD197" s="176">
        <v>0</v>
      </c>
      <c r="BE197" s="262">
        <v>0</v>
      </c>
      <c r="BF197" s="176">
        <f>BH197</f>
        <v>40793.96185</v>
      </c>
      <c r="BG197" s="373">
        <f t="shared" si="494"/>
        <v>1</v>
      </c>
      <c r="BH197" s="176">
        <v>40793.96185</v>
      </c>
      <c r="BI197" s="373">
        <f t="shared" si="495"/>
        <v>1</v>
      </c>
      <c r="BJ197" s="176">
        <v>0</v>
      </c>
      <c r="BK197" s="373">
        <v>0</v>
      </c>
      <c r="BL197" s="176">
        <f>BN197</f>
        <v>0</v>
      </c>
      <c r="BM197" s="374">
        <f t="shared" si="505"/>
        <v>0</v>
      </c>
      <c r="BN197" s="176">
        <f t="shared" si="547"/>
        <v>0</v>
      </c>
      <c r="BO197" s="374">
        <f t="shared" si="497"/>
        <v>0</v>
      </c>
      <c r="BP197" s="176">
        <v>0</v>
      </c>
      <c r="BQ197" s="374">
        <v>0</v>
      </c>
      <c r="BR197" s="176">
        <f t="shared" si="548"/>
        <v>138.41182999999728</v>
      </c>
      <c r="BS197" s="147">
        <f t="shared" si="488"/>
        <v>3.3814757747026728E-3</v>
      </c>
      <c r="BT197" s="176">
        <f t="shared" si="541"/>
        <v>138.41182999999728</v>
      </c>
      <c r="BU197" s="147">
        <f t="shared" si="489"/>
        <v>3.3814757747026728E-3</v>
      </c>
      <c r="BV197" s="176">
        <v>0</v>
      </c>
      <c r="BW197" s="147">
        <v>0</v>
      </c>
      <c r="BX197" s="175"/>
      <c r="BY197" s="265"/>
      <c r="BZ197" s="176"/>
      <c r="CA197" s="631"/>
      <c r="CB197" s="176"/>
      <c r="CC197" s="631"/>
      <c r="CD197" s="176"/>
      <c r="CE197" s="631"/>
      <c r="CF197" s="161"/>
      <c r="CG197" s="161"/>
      <c r="CH197" s="176"/>
      <c r="CI197" s="272"/>
      <c r="CJ197" s="176"/>
      <c r="CK197" s="273"/>
    </row>
    <row r="198" spans="2:89" s="42" customFormat="1" ht="74.25" hidden="1" customHeight="1">
      <c r="B198" s="705" t="s">
        <v>329</v>
      </c>
      <c r="C198" s="715" t="s">
        <v>330</v>
      </c>
      <c r="D198" s="706"/>
      <c r="E198" s="175"/>
      <c r="F198" s="175"/>
      <c r="G198" s="175"/>
      <c r="H198" s="175"/>
      <c r="I198" s="175"/>
      <c r="J198" s="175">
        <f>M198-G198</f>
        <v>0</v>
      </c>
      <c r="K198" s="714">
        <f t="shared" si="520"/>
        <v>15132.264730000001</v>
      </c>
      <c r="L198" s="176">
        <f>R198</f>
        <v>15132.264730000001</v>
      </c>
      <c r="M198" s="176">
        <v>0</v>
      </c>
      <c r="N198" s="176">
        <f t="shared" si="550"/>
        <v>0</v>
      </c>
      <c r="O198" s="176">
        <f>R198-L198</f>
        <v>0</v>
      </c>
      <c r="P198" s="176"/>
      <c r="Q198" s="175">
        <f t="shared" si="532"/>
        <v>15132.264730000001</v>
      </c>
      <c r="R198" s="175">
        <v>15132.264730000001</v>
      </c>
      <c r="S198" s="175"/>
      <c r="T198" s="176"/>
      <c r="U198" s="607"/>
      <c r="V198" s="176"/>
      <c r="W198" s="607"/>
      <c r="X198" s="176"/>
      <c r="Y198" s="607"/>
      <c r="Z198" s="176"/>
      <c r="AA198" s="607"/>
      <c r="AB198" s="176"/>
      <c r="AC198" s="607"/>
      <c r="AD198" s="176"/>
      <c r="AE198" s="176"/>
      <c r="AF198" s="176"/>
      <c r="AG198" s="176"/>
      <c r="AH198" s="176"/>
      <c r="AI198" s="176"/>
      <c r="AJ198" s="176"/>
      <c r="AK198" s="176">
        <f t="shared" ref="AK198:AK199" si="551">AN198+AQ198</f>
        <v>0</v>
      </c>
      <c r="AL198" s="164"/>
      <c r="AM198" s="707">
        <f t="shared" si="502"/>
        <v>0</v>
      </c>
      <c r="AN198" s="176">
        <v>0</v>
      </c>
      <c r="AO198" s="608"/>
      <c r="AP198" s="707">
        <f t="shared" si="503"/>
        <v>0</v>
      </c>
      <c r="AQ198" s="176">
        <v>0</v>
      </c>
      <c r="AR198" s="608"/>
      <c r="AS198" s="707">
        <v>0</v>
      </c>
      <c r="AT198" s="176">
        <f t="shared" si="538"/>
        <v>15132.264730000001</v>
      </c>
      <c r="AU198" s="584">
        <f t="shared" si="526"/>
        <v>1</v>
      </c>
      <c r="AV198" s="176">
        <f t="shared" si="549"/>
        <v>15132.264730000001</v>
      </c>
      <c r="AW198" s="373">
        <f t="shared" si="527"/>
        <v>1</v>
      </c>
      <c r="AX198" s="176">
        <v>0</v>
      </c>
      <c r="AY198" s="261">
        <v>0</v>
      </c>
      <c r="AZ198" s="176">
        <f t="shared" si="546"/>
        <v>0</v>
      </c>
      <c r="BA198" s="262">
        <f t="shared" si="479"/>
        <v>0</v>
      </c>
      <c r="BB198" s="176">
        <f t="shared" si="540"/>
        <v>0</v>
      </c>
      <c r="BC198" s="262">
        <f t="shared" si="480"/>
        <v>0</v>
      </c>
      <c r="BD198" s="176">
        <v>0</v>
      </c>
      <c r="BE198" s="262">
        <v>0</v>
      </c>
      <c r="BF198" s="176">
        <f t="shared" ref="BF198" si="552">BH198</f>
        <v>15132.264730000001</v>
      </c>
      <c r="BG198" s="373">
        <f t="shared" si="494"/>
        <v>1</v>
      </c>
      <c r="BH198" s="176">
        <f>R198</f>
        <v>15132.264730000001</v>
      </c>
      <c r="BI198" s="373">
        <f t="shared" si="495"/>
        <v>1</v>
      </c>
      <c r="BJ198" s="176">
        <v>0</v>
      </c>
      <c r="BK198" s="373">
        <v>0</v>
      </c>
      <c r="BL198" s="176">
        <v>0</v>
      </c>
      <c r="BM198" s="374">
        <f t="shared" si="505"/>
        <v>0</v>
      </c>
      <c r="BN198" s="176">
        <f t="shared" si="547"/>
        <v>0</v>
      </c>
      <c r="BO198" s="374">
        <f t="shared" si="497"/>
        <v>0</v>
      </c>
      <c r="BP198" s="176">
        <v>0</v>
      </c>
      <c r="BQ198" s="374">
        <v>0</v>
      </c>
      <c r="BR198" s="176">
        <f t="shared" si="548"/>
        <v>0</v>
      </c>
      <c r="BS198" s="147">
        <f t="shared" si="488"/>
        <v>0</v>
      </c>
      <c r="BT198" s="176">
        <f t="shared" si="541"/>
        <v>0</v>
      </c>
      <c r="BU198" s="147">
        <f t="shared" si="489"/>
        <v>0</v>
      </c>
      <c r="BV198" s="176">
        <v>0</v>
      </c>
      <c r="BW198" s="147">
        <v>0</v>
      </c>
      <c r="BX198" s="175"/>
      <c r="BY198" s="265"/>
      <c r="BZ198" s="176"/>
      <c r="CA198" s="631"/>
      <c r="CB198" s="176"/>
      <c r="CC198" s="631"/>
      <c r="CD198" s="176"/>
      <c r="CE198" s="631"/>
      <c r="CF198" s="161"/>
      <c r="CG198" s="161"/>
      <c r="CH198" s="176"/>
      <c r="CI198" s="272"/>
      <c r="CJ198" s="176"/>
      <c r="CK198" s="273"/>
    </row>
    <row r="199" spans="2:89" s="42" customFormat="1" ht="36.75" hidden="1" customHeight="1">
      <c r="B199" s="705" t="s">
        <v>331</v>
      </c>
      <c r="C199" s="715" t="s">
        <v>332</v>
      </c>
      <c r="D199" s="706"/>
      <c r="E199" s="175"/>
      <c r="F199" s="175"/>
      <c r="G199" s="175"/>
      <c r="H199" s="175"/>
      <c r="I199" s="175"/>
      <c r="J199" s="175">
        <f>M199-G199</f>
        <v>0</v>
      </c>
      <c r="K199" s="714">
        <f t="shared" si="520"/>
        <v>18843.236700000001</v>
      </c>
      <c r="L199" s="176">
        <v>18843.236700000001</v>
      </c>
      <c r="M199" s="176">
        <v>0</v>
      </c>
      <c r="N199" s="176">
        <f t="shared" si="550"/>
        <v>-11683.217100000002</v>
      </c>
      <c r="O199" s="176">
        <f>R199-L199</f>
        <v>-11683.217100000002</v>
      </c>
      <c r="P199" s="176"/>
      <c r="Q199" s="175">
        <f t="shared" si="532"/>
        <v>7160.0195999999996</v>
      </c>
      <c r="R199" s="175">
        <v>7160.0195999999996</v>
      </c>
      <c r="S199" s="175"/>
      <c r="T199" s="176"/>
      <c r="U199" s="607"/>
      <c r="V199" s="176"/>
      <c r="W199" s="607"/>
      <c r="X199" s="176"/>
      <c r="Y199" s="607"/>
      <c r="Z199" s="176"/>
      <c r="AA199" s="607"/>
      <c r="AB199" s="176"/>
      <c r="AC199" s="607"/>
      <c r="AD199" s="176"/>
      <c r="AE199" s="176"/>
      <c r="AF199" s="176"/>
      <c r="AG199" s="176"/>
      <c r="AH199" s="176"/>
      <c r="AI199" s="176"/>
      <c r="AJ199" s="176"/>
      <c r="AK199" s="176">
        <f t="shared" si="551"/>
        <v>0</v>
      </c>
      <c r="AL199" s="164"/>
      <c r="AM199" s="707">
        <f t="shared" si="502"/>
        <v>0</v>
      </c>
      <c r="AN199" s="176">
        <v>0</v>
      </c>
      <c r="AO199" s="608"/>
      <c r="AP199" s="707">
        <f t="shared" si="503"/>
        <v>0</v>
      </c>
      <c r="AQ199" s="176">
        <v>0</v>
      </c>
      <c r="AR199" s="608"/>
      <c r="AS199" s="707">
        <v>0</v>
      </c>
      <c r="AT199" s="176">
        <f t="shared" si="538"/>
        <v>17729.12514</v>
      </c>
      <c r="AU199" s="584">
        <f t="shared" si="526"/>
        <v>0.94087472456364141</v>
      </c>
      <c r="AV199" s="176">
        <v>17729.12514</v>
      </c>
      <c r="AW199" s="373">
        <f t="shared" si="527"/>
        <v>0.94087472456364141</v>
      </c>
      <c r="AX199" s="176">
        <v>0</v>
      </c>
      <c r="AY199" s="261">
        <v>0</v>
      </c>
      <c r="AZ199" s="176">
        <f t="shared" si="546"/>
        <v>1114.1115600000012</v>
      </c>
      <c r="BA199" s="262">
        <f t="shared" si="479"/>
        <v>5.9125275436358614E-2</v>
      </c>
      <c r="BB199" s="176">
        <f t="shared" si="540"/>
        <v>1114.1115600000012</v>
      </c>
      <c r="BC199" s="262">
        <f t="shared" si="480"/>
        <v>5.9125275436358614E-2</v>
      </c>
      <c r="BD199" s="176">
        <v>0</v>
      </c>
      <c r="BE199" s="262">
        <v>0</v>
      </c>
      <c r="BF199" s="176">
        <v>0</v>
      </c>
      <c r="BG199" s="373">
        <f t="shared" si="494"/>
        <v>0</v>
      </c>
      <c r="BH199" s="176">
        <f>AV199</f>
        <v>17729.12514</v>
      </c>
      <c r="BI199" s="373">
        <f t="shared" si="495"/>
        <v>1</v>
      </c>
      <c r="BJ199" s="176">
        <v>0</v>
      </c>
      <c r="BK199" s="373">
        <v>0</v>
      </c>
      <c r="BL199" s="176">
        <v>0</v>
      </c>
      <c r="BM199" s="374">
        <f t="shared" si="505"/>
        <v>0</v>
      </c>
      <c r="BN199" s="176">
        <f t="shared" si="547"/>
        <v>0</v>
      </c>
      <c r="BO199" s="374">
        <f t="shared" si="497"/>
        <v>0</v>
      </c>
      <c r="BP199" s="176">
        <v>0</v>
      </c>
      <c r="BQ199" s="374">
        <v>0</v>
      </c>
      <c r="BR199" s="175">
        <f t="shared" si="548"/>
        <v>1114.1115600000012</v>
      </c>
      <c r="BS199" s="147">
        <f t="shared" si="488"/>
        <v>5.9125275436358614E-2</v>
      </c>
      <c r="BT199" s="176">
        <f t="shared" si="541"/>
        <v>1114.1115600000012</v>
      </c>
      <c r="BU199" s="147">
        <f t="shared" si="489"/>
        <v>5.9125275436358614E-2</v>
      </c>
      <c r="BV199" s="176">
        <v>0</v>
      </c>
      <c r="BW199" s="147">
        <v>0</v>
      </c>
      <c r="BX199" s="175"/>
      <c r="BY199" s="265"/>
      <c r="BZ199" s="176"/>
      <c r="CA199" s="631"/>
      <c r="CB199" s="176"/>
      <c r="CC199" s="631"/>
      <c r="CD199" s="176"/>
      <c r="CE199" s="631"/>
      <c r="CF199" s="161"/>
      <c r="CG199" s="161"/>
      <c r="CH199" s="176"/>
      <c r="CI199" s="272"/>
      <c r="CJ199" s="176"/>
      <c r="CK199" s="273"/>
    </row>
    <row r="200" spans="2:89" s="42" customFormat="1" ht="66" hidden="1" customHeight="1">
      <c r="B200" s="705" t="s">
        <v>333</v>
      </c>
      <c r="C200" s="715" t="s">
        <v>334</v>
      </c>
      <c r="D200" s="706"/>
      <c r="E200" s="175"/>
      <c r="F200" s="175"/>
      <c r="G200" s="175"/>
      <c r="H200" s="175"/>
      <c r="I200" s="175"/>
      <c r="J200" s="175"/>
      <c r="K200" s="714">
        <f t="shared" si="520"/>
        <v>52.978029999999997</v>
      </c>
      <c r="L200" s="176">
        <v>52.978029999999997</v>
      </c>
      <c r="M200" s="176"/>
      <c r="N200" s="176"/>
      <c r="O200" s="176"/>
      <c r="P200" s="176"/>
      <c r="Q200" s="175"/>
      <c r="R200" s="175"/>
      <c r="S200" s="175"/>
      <c r="T200" s="176"/>
      <c r="U200" s="607"/>
      <c r="V200" s="176"/>
      <c r="W200" s="607"/>
      <c r="X200" s="176"/>
      <c r="Y200" s="607"/>
      <c r="Z200" s="176"/>
      <c r="AA200" s="607"/>
      <c r="AB200" s="176"/>
      <c r="AC200" s="607"/>
      <c r="AD200" s="176"/>
      <c r="AE200" s="176"/>
      <c r="AF200" s="176"/>
      <c r="AG200" s="176"/>
      <c r="AH200" s="176"/>
      <c r="AI200" s="176"/>
      <c r="AJ200" s="176"/>
      <c r="AK200" s="176"/>
      <c r="AL200" s="164"/>
      <c r="AM200" s="707"/>
      <c r="AN200" s="176"/>
      <c r="AO200" s="608"/>
      <c r="AP200" s="707"/>
      <c r="AQ200" s="176"/>
      <c r="AR200" s="608"/>
      <c r="AS200" s="707"/>
      <c r="AT200" s="176">
        <v>0</v>
      </c>
      <c r="AU200" s="584">
        <f t="shared" si="526"/>
        <v>0</v>
      </c>
      <c r="AV200" s="176">
        <v>0</v>
      </c>
      <c r="AW200" s="373">
        <f t="shared" si="527"/>
        <v>0</v>
      </c>
      <c r="AX200" s="176"/>
      <c r="AY200" s="261"/>
      <c r="AZ200" s="176">
        <f t="shared" si="546"/>
        <v>52.978029999999997</v>
      </c>
      <c r="BA200" s="262">
        <f t="shared" si="479"/>
        <v>1</v>
      </c>
      <c r="BB200" s="176">
        <f t="shared" si="540"/>
        <v>52.978029999999997</v>
      </c>
      <c r="BC200" s="262">
        <f t="shared" si="480"/>
        <v>1</v>
      </c>
      <c r="BD200" s="176">
        <v>0</v>
      </c>
      <c r="BE200" s="262">
        <v>0</v>
      </c>
      <c r="BF200" s="176">
        <v>0</v>
      </c>
      <c r="BG200" s="373" t="e">
        <f t="shared" si="494"/>
        <v>#DIV/0!</v>
      </c>
      <c r="BH200" s="176"/>
      <c r="BI200" s="373" t="e">
        <f t="shared" si="495"/>
        <v>#DIV/0!</v>
      </c>
      <c r="BJ200" s="176"/>
      <c r="BK200" s="373">
        <v>0</v>
      </c>
      <c r="BL200" s="176"/>
      <c r="BM200" s="374" t="e">
        <f t="shared" si="505"/>
        <v>#DIV/0!</v>
      </c>
      <c r="BN200" s="176">
        <f t="shared" si="547"/>
        <v>0</v>
      </c>
      <c r="BO200" s="374" t="e">
        <f t="shared" si="497"/>
        <v>#DIV/0!</v>
      </c>
      <c r="BP200" s="176"/>
      <c r="BQ200" s="374">
        <v>0</v>
      </c>
      <c r="BR200" s="175">
        <f t="shared" si="548"/>
        <v>52.978029999999997</v>
      </c>
      <c r="BS200" s="147">
        <f t="shared" si="488"/>
        <v>1</v>
      </c>
      <c r="BT200" s="176">
        <f t="shared" si="541"/>
        <v>52.978029999999997</v>
      </c>
      <c r="BU200" s="147">
        <f t="shared" si="489"/>
        <v>1</v>
      </c>
      <c r="BV200" s="176">
        <v>0</v>
      </c>
      <c r="BW200" s="147">
        <v>0</v>
      </c>
      <c r="BX200" s="609" t="s">
        <v>335</v>
      </c>
      <c r="BY200" s="265"/>
      <c r="BZ200" s="176"/>
      <c r="CA200" s="631"/>
      <c r="CB200" s="176"/>
      <c r="CC200" s="631"/>
      <c r="CD200" s="176"/>
      <c r="CE200" s="631"/>
      <c r="CF200" s="161"/>
      <c r="CG200" s="161"/>
      <c r="CH200" s="176"/>
      <c r="CI200" s="272"/>
      <c r="CJ200" s="176"/>
      <c r="CK200" s="273"/>
    </row>
    <row r="201" spans="2:89" s="719" customFormat="1" ht="21.75" hidden="1" customHeight="1">
      <c r="B201" s="716"/>
      <c r="C201" s="708" t="s">
        <v>336</v>
      </c>
      <c r="D201" s="706" t="s">
        <v>337</v>
      </c>
      <c r="E201" s="175" t="e">
        <f>#REF!+#REF!+#REF!+#REF!</f>
        <v>#REF!</v>
      </c>
      <c r="F201" s="175" t="e">
        <f>#REF!+#REF!+#REF!+#REF!</f>
        <v>#REF!</v>
      </c>
      <c r="G201" s="175" t="e">
        <f>#REF!+#REF!+#REF!+#REF!</f>
        <v>#REF!</v>
      </c>
      <c r="H201" s="175" t="e">
        <f>#REF!+#REF!+#REF!+#REF!</f>
        <v>#REF!</v>
      </c>
      <c r="I201" s="175" t="e">
        <f>#REF!+#REF!+#REF!+#REF!</f>
        <v>#REF!</v>
      </c>
      <c r="J201" s="175" t="e">
        <f>#REF!+#REF!+#REF!+#REF!</f>
        <v>#REF!</v>
      </c>
      <c r="K201" s="714">
        <f>L201+M201</f>
        <v>1184.1000000000001</v>
      </c>
      <c r="L201" s="176">
        <f>L202+L203+L204+L205</f>
        <v>1184.1000000000001</v>
      </c>
      <c r="M201" s="176">
        <f>M203+M204</f>
        <v>0</v>
      </c>
      <c r="N201" s="176">
        <f t="shared" si="550"/>
        <v>-287.1497700000001</v>
      </c>
      <c r="O201" s="176">
        <f>R201-L201</f>
        <v>-287.1497700000001</v>
      </c>
      <c r="P201" s="176">
        <f>S201-M201</f>
        <v>0</v>
      </c>
      <c r="Q201" s="175">
        <f t="shared" si="532"/>
        <v>896.95023000000003</v>
      </c>
      <c r="R201" s="175">
        <f>R202+R203+R204</f>
        <v>896.95023000000003</v>
      </c>
      <c r="S201" s="175">
        <v>0</v>
      </c>
      <c r="T201" s="176" t="e">
        <f>V201</f>
        <v>#REF!</v>
      </c>
      <c r="U201" s="607" t="e">
        <f t="shared" si="509"/>
        <v>#REF!</v>
      </c>
      <c r="V201" s="176" t="e">
        <f>#REF!+#REF!+V203</f>
        <v>#REF!</v>
      </c>
      <c r="W201" s="607" t="e">
        <f t="shared" si="510"/>
        <v>#REF!</v>
      </c>
      <c r="X201" s="176" t="e">
        <f>#REF!+#REF!+X203</f>
        <v>#REF!</v>
      </c>
      <c r="Y201" s="607">
        <v>0</v>
      </c>
      <c r="Z201" s="176" t="e">
        <f>#REF!+#REF!+Z203</f>
        <v>#REF!</v>
      </c>
      <c r="AA201" s="607" t="e">
        <f t="shared" si="511"/>
        <v>#REF!</v>
      </c>
      <c r="AB201" s="176" t="e">
        <f>#REF!+#REF!+AB203</f>
        <v>#REF!</v>
      </c>
      <c r="AC201" s="607" t="e">
        <f t="shared" si="513"/>
        <v>#REF!</v>
      </c>
      <c r="AD201" s="176" t="e">
        <f>#REF!+#REF!+AD203</f>
        <v>#REF!</v>
      </c>
      <c r="AE201" s="176" t="e">
        <f>#REF!+#REF!+AE203</f>
        <v>#REF!</v>
      </c>
      <c r="AF201" s="176" t="e">
        <f>#REF!+#REF!+AF203</f>
        <v>#REF!</v>
      </c>
      <c r="AG201" s="176" t="e">
        <f>#REF!+#REF!+AG203</f>
        <v>#REF!</v>
      </c>
      <c r="AH201" s="176" t="e">
        <f>AH203+#REF!</f>
        <v>#REF!</v>
      </c>
      <c r="AI201" s="176" t="e">
        <f>AI203+#REF!</f>
        <v>#REF!</v>
      </c>
      <c r="AJ201" s="176" t="e">
        <f>AJ203+#REF!</f>
        <v>#REF!</v>
      </c>
      <c r="AK201" s="176">
        <f>AN201</f>
        <v>206.95023</v>
      </c>
      <c r="AL201" s="607" t="e">
        <f t="shared" si="472"/>
        <v>#REF!</v>
      </c>
      <c r="AM201" s="263">
        <f t="shared" si="502"/>
        <v>0.17477428426653152</v>
      </c>
      <c r="AN201" s="176">
        <f>AN202+AN203+AN204</f>
        <v>206.95023</v>
      </c>
      <c r="AO201" s="607" t="e">
        <f t="shared" si="474"/>
        <v>#REF!</v>
      </c>
      <c r="AP201" s="263">
        <f t="shared" si="503"/>
        <v>0.17477428426653152</v>
      </c>
      <c r="AQ201" s="176">
        <f>AQ202+AQ203+AQ204</f>
        <v>0</v>
      </c>
      <c r="AR201" s="607" t="e">
        <f t="shared" si="475"/>
        <v>#REF!</v>
      </c>
      <c r="AS201" s="263">
        <v>0</v>
      </c>
      <c r="AT201" s="176">
        <f>AV201+AX201</f>
        <v>1178.2</v>
      </c>
      <c r="AU201" s="584">
        <f t="shared" si="526"/>
        <v>0.99501731272696559</v>
      </c>
      <c r="AV201" s="176">
        <f>AV202+AV203+AV204+AV205</f>
        <v>1178.2</v>
      </c>
      <c r="AW201" s="375">
        <f t="shared" si="527"/>
        <v>0.99501731272696559</v>
      </c>
      <c r="AX201" s="176">
        <v>0</v>
      </c>
      <c r="AY201" s="262">
        <v>0</v>
      </c>
      <c r="AZ201" s="176">
        <f>BB201+BD201</f>
        <v>5.9</v>
      </c>
      <c r="BA201" s="262">
        <f t="shared" si="479"/>
        <v>4.9826872730343716E-3</v>
      </c>
      <c r="BB201" s="176">
        <f>BB202+BB203+BB204+BB205</f>
        <v>5.9</v>
      </c>
      <c r="BC201" s="262">
        <f t="shared" si="480"/>
        <v>4.9826872730343716E-3</v>
      </c>
      <c r="BD201" s="176">
        <v>0</v>
      </c>
      <c r="BE201" s="262">
        <v>0</v>
      </c>
      <c r="BF201" s="176">
        <f>BH201</f>
        <v>1178.2</v>
      </c>
      <c r="BG201" s="373">
        <f t="shared" si="494"/>
        <v>1</v>
      </c>
      <c r="BH201" s="176">
        <f>BH202+BH203+BH204+BH205</f>
        <v>1178.2</v>
      </c>
      <c r="BI201" s="373">
        <f t="shared" si="495"/>
        <v>1</v>
      </c>
      <c r="BJ201" s="176">
        <f>BJ202+BJ203+BJ204</f>
        <v>0</v>
      </c>
      <c r="BK201" s="373">
        <v>0</v>
      </c>
      <c r="BL201" s="176">
        <f>BN201</f>
        <v>0</v>
      </c>
      <c r="BM201" s="374">
        <f t="shared" si="505"/>
        <v>0</v>
      </c>
      <c r="BN201" s="176">
        <f>BN202+BN203+BN204</f>
        <v>0</v>
      </c>
      <c r="BO201" s="374">
        <f t="shared" si="497"/>
        <v>0</v>
      </c>
      <c r="BP201" s="176">
        <f>BP202+BP203+BP204</f>
        <v>0</v>
      </c>
      <c r="BQ201" s="374">
        <v>0</v>
      </c>
      <c r="BR201" s="176">
        <f t="shared" si="548"/>
        <v>5.9</v>
      </c>
      <c r="BS201" s="147">
        <f t="shared" si="488"/>
        <v>4.9826872730343716E-3</v>
      </c>
      <c r="BT201" s="176">
        <f>BT202+BT203+BT204+BT205</f>
        <v>5.9</v>
      </c>
      <c r="BU201" s="147">
        <f t="shared" si="489"/>
        <v>4.9826872730343716E-3</v>
      </c>
      <c r="BV201" s="176">
        <v>0</v>
      </c>
      <c r="BW201" s="147">
        <v>0</v>
      </c>
      <c r="BX201" s="175"/>
      <c r="BY201" s="271" t="e">
        <f>AD201/S201</f>
        <v>#REF!</v>
      </c>
      <c r="BZ201" s="176" t="e">
        <f>#REF!+#REF!+BZ203</f>
        <v>#REF!</v>
      </c>
      <c r="CA201" s="176" t="e">
        <f>#REF!+#REF!+CA203</f>
        <v>#REF!</v>
      </c>
      <c r="CB201" s="176" t="e">
        <f>#REF!+#REF!+CB203</f>
        <v>#REF!</v>
      </c>
      <c r="CC201" s="176" t="e">
        <f>#REF!+#REF!+CC203</f>
        <v>#REF!</v>
      </c>
      <c r="CD201" s="176" t="e">
        <f>#REF!+#REF!+CD203</f>
        <v>#REF!</v>
      </c>
      <c r="CE201" s="176" t="e">
        <f>#REF!+#REF!+CE203</f>
        <v>#REF!</v>
      </c>
      <c r="CF201" s="176" t="s">
        <v>81</v>
      </c>
      <c r="CG201" s="176" t="s">
        <v>81</v>
      </c>
      <c r="CH201" s="176" t="e">
        <f>#REF!+#REF!+CH203</f>
        <v>#REF!</v>
      </c>
      <c r="CI201" s="717"/>
      <c r="CJ201" s="176" t="e">
        <f>#REF!+#REF!+CJ203</f>
        <v>#REF!</v>
      </c>
      <c r="CK201" s="718"/>
    </row>
    <row r="202" spans="2:89" s="42" customFormat="1" ht="71.25" hidden="1" customHeight="1">
      <c r="B202" s="705" t="s">
        <v>338</v>
      </c>
      <c r="C202" s="720" t="s">
        <v>339</v>
      </c>
      <c r="D202" s="706"/>
      <c r="E202" s="175"/>
      <c r="F202" s="175"/>
      <c r="G202" s="175"/>
      <c r="H202" s="175"/>
      <c r="I202" s="175"/>
      <c r="J202" s="175"/>
      <c r="K202" s="714">
        <f>L202</f>
        <v>388.7</v>
      </c>
      <c r="L202" s="176">
        <v>388.7</v>
      </c>
      <c r="M202" s="176">
        <v>0</v>
      </c>
      <c r="N202" s="176"/>
      <c r="O202" s="176"/>
      <c r="P202" s="176"/>
      <c r="Q202" s="175">
        <f>R202+S202</f>
        <v>99.95</v>
      </c>
      <c r="R202" s="175">
        <v>99.95</v>
      </c>
      <c r="S202" s="175"/>
      <c r="T202" s="176"/>
      <c r="U202" s="607"/>
      <c r="V202" s="176"/>
      <c r="W202" s="607"/>
      <c r="X202" s="176"/>
      <c r="Y202" s="607"/>
      <c r="Z202" s="176"/>
      <c r="AA202" s="607"/>
      <c r="AB202" s="176"/>
      <c r="AC202" s="607"/>
      <c r="AD202" s="161"/>
      <c r="AE202" s="161"/>
      <c r="AF202" s="161"/>
      <c r="AG202" s="161"/>
      <c r="AH202" s="161"/>
      <c r="AI202" s="161"/>
      <c r="AJ202" s="161"/>
      <c r="AK202" s="176">
        <f>AN202+AQ202</f>
        <v>99.95</v>
      </c>
      <c r="AL202" s="164"/>
      <c r="AM202" s="707">
        <f t="shared" si="502"/>
        <v>0.25713918188834578</v>
      </c>
      <c r="AN202" s="176">
        <v>99.95</v>
      </c>
      <c r="AO202" s="164"/>
      <c r="AP202" s="707">
        <f t="shared" si="503"/>
        <v>0.25713918188834578</v>
      </c>
      <c r="AQ202" s="176">
        <v>0</v>
      </c>
      <c r="AR202" s="608"/>
      <c r="AS202" s="707">
        <v>0</v>
      </c>
      <c r="AT202" s="176">
        <f>AV202+AX202</f>
        <v>388.7</v>
      </c>
      <c r="AU202" s="584">
        <f t="shared" si="526"/>
        <v>1</v>
      </c>
      <c r="AV202" s="176">
        <f>L202</f>
        <v>388.7</v>
      </c>
      <c r="AW202" s="373">
        <f t="shared" si="527"/>
        <v>1</v>
      </c>
      <c r="AX202" s="176">
        <v>0</v>
      </c>
      <c r="AY202" s="261">
        <v>0</v>
      </c>
      <c r="AZ202" s="176">
        <f>BB202+BD202</f>
        <v>0</v>
      </c>
      <c r="BA202" s="262">
        <f t="shared" si="479"/>
        <v>0</v>
      </c>
      <c r="BB202" s="176">
        <f>L202-AV202</f>
        <v>0</v>
      </c>
      <c r="BC202" s="262">
        <f t="shared" si="480"/>
        <v>0</v>
      </c>
      <c r="BD202" s="176">
        <v>0</v>
      </c>
      <c r="BE202" s="262">
        <v>0</v>
      </c>
      <c r="BF202" s="176">
        <f>BH202+BJ202</f>
        <v>388.7</v>
      </c>
      <c r="BG202" s="373">
        <f t="shared" si="494"/>
        <v>1</v>
      </c>
      <c r="BH202" s="176">
        <v>388.7</v>
      </c>
      <c r="BI202" s="373">
        <f t="shared" si="495"/>
        <v>1</v>
      </c>
      <c r="BJ202" s="176">
        <v>0</v>
      </c>
      <c r="BK202" s="373">
        <v>0</v>
      </c>
      <c r="BL202" s="176">
        <v>0</v>
      </c>
      <c r="BM202" s="374">
        <f t="shared" si="505"/>
        <v>0</v>
      </c>
      <c r="BN202" s="176">
        <f>AV202-BH202</f>
        <v>0</v>
      </c>
      <c r="BO202" s="374">
        <f t="shared" si="497"/>
        <v>0</v>
      </c>
      <c r="BP202" s="176">
        <v>0</v>
      </c>
      <c r="BQ202" s="374">
        <v>0</v>
      </c>
      <c r="BR202" s="175">
        <f t="shared" si="548"/>
        <v>0</v>
      </c>
      <c r="BS202" s="147">
        <f t="shared" si="488"/>
        <v>0</v>
      </c>
      <c r="BT202" s="176">
        <f t="shared" ref="BT202:BT205" si="553">L202-BH202</f>
        <v>0</v>
      </c>
      <c r="BU202" s="147">
        <f t="shared" si="489"/>
        <v>0</v>
      </c>
      <c r="BV202" s="176">
        <v>0</v>
      </c>
      <c r="BW202" s="147">
        <v>0</v>
      </c>
      <c r="BX202" s="175"/>
      <c r="BY202" s="265"/>
      <c r="BZ202" s="161"/>
      <c r="CA202" s="161"/>
      <c r="CB202" s="161"/>
      <c r="CC202" s="161"/>
      <c r="CD202" s="161"/>
      <c r="CE202" s="161"/>
      <c r="CF202" s="161"/>
      <c r="CG202" s="161"/>
      <c r="CH202" s="161"/>
      <c r="CI202" s="272"/>
      <c r="CJ202" s="161"/>
      <c r="CK202" s="273"/>
    </row>
    <row r="203" spans="2:89" s="42" customFormat="1" ht="71.25" hidden="1" customHeight="1">
      <c r="B203" s="705" t="s">
        <v>340</v>
      </c>
      <c r="C203" s="720" t="s">
        <v>341</v>
      </c>
      <c r="D203" s="706"/>
      <c r="E203" s="175"/>
      <c r="F203" s="175"/>
      <c r="G203" s="175"/>
      <c r="H203" s="175"/>
      <c r="I203" s="175"/>
      <c r="J203" s="175"/>
      <c r="K203" s="714">
        <f t="shared" si="520"/>
        <v>690</v>
      </c>
      <c r="L203" s="176">
        <v>690</v>
      </c>
      <c r="M203" s="176">
        <v>0</v>
      </c>
      <c r="N203" s="176">
        <f>O203</f>
        <v>0</v>
      </c>
      <c r="O203" s="176">
        <f t="shared" ref="O203:O204" si="554">R203-L203</f>
        <v>0</v>
      </c>
      <c r="P203" s="176"/>
      <c r="Q203" s="175">
        <f t="shared" si="532"/>
        <v>690</v>
      </c>
      <c r="R203" s="175">
        <v>690</v>
      </c>
      <c r="S203" s="175"/>
      <c r="T203" s="176">
        <f t="shared" ref="T203" si="555">V203</f>
        <v>1399.7350000000001</v>
      </c>
      <c r="U203" s="607">
        <f t="shared" si="509"/>
        <v>2.0286014492753623</v>
      </c>
      <c r="V203" s="176">
        <f>995.735+404</f>
        <v>1399.7350000000001</v>
      </c>
      <c r="W203" s="607">
        <f t="shared" si="510"/>
        <v>2.0286014492753623</v>
      </c>
      <c r="X203" s="176"/>
      <c r="Y203" s="607">
        <v>0</v>
      </c>
      <c r="Z203" s="176">
        <f t="shared" ref="Z203" si="556">AB203</f>
        <v>-709.73500000000013</v>
      </c>
      <c r="AA203" s="607">
        <f t="shared" si="511"/>
        <v>-1.0286014492753626</v>
      </c>
      <c r="AB203" s="176">
        <f t="shared" ref="AB203" si="557">R203-V203</f>
        <v>-709.73500000000013</v>
      </c>
      <c r="AC203" s="607">
        <f t="shared" si="513"/>
        <v>-1.0286014492753626</v>
      </c>
      <c r="AD203" s="176"/>
      <c r="AE203" s="176">
        <f>AF203+AG203</f>
        <v>0</v>
      </c>
      <c r="AF203" s="176"/>
      <c r="AG203" s="176"/>
      <c r="AH203" s="176">
        <f>AI203+AJ203</f>
        <v>0</v>
      </c>
      <c r="AI203" s="176"/>
      <c r="AJ203" s="176"/>
      <c r="AK203" s="176">
        <f>AN203+AQ203</f>
        <v>0</v>
      </c>
      <c r="AL203" s="164" t="e">
        <f t="shared" si="472"/>
        <v>#DIV/0!</v>
      </c>
      <c r="AM203" s="707">
        <f t="shared" si="502"/>
        <v>0</v>
      </c>
      <c r="AN203" s="176">
        <v>0</v>
      </c>
      <c r="AO203" s="608" t="e">
        <f t="shared" si="474"/>
        <v>#DIV/0!</v>
      </c>
      <c r="AP203" s="707">
        <f t="shared" si="503"/>
        <v>0</v>
      </c>
      <c r="AQ203" s="176">
        <v>0</v>
      </c>
      <c r="AR203" s="608" t="e">
        <f t="shared" si="475"/>
        <v>#DIV/0!</v>
      </c>
      <c r="AS203" s="707">
        <v>0</v>
      </c>
      <c r="AT203" s="176">
        <f t="shared" si="538"/>
        <v>690</v>
      </c>
      <c r="AU203" s="584">
        <f t="shared" si="526"/>
        <v>1</v>
      </c>
      <c r="AV203" s="176">
        <f>L203</f>
        <v>690</v>
      </c>
      <c r="AW203" s="373">
        <f t="shared" si="527"/>
        <v>1</v>
      </c>
      <c r="AX203" s="176">
        <v>0</v>
      </c>
      <c r="AY203" s="261">
        <v>0</v>
      </c>
      <c r="AZ203" s="176">
        <f t="shared" ref="AZ203:AZ205" si="558">BB203+BD203</f>
        <v>0</v>
      </c>
      <c r="BA203" s="262">
        <f t="shared" si="479"/>
        <v>0</v>
      </c>
      <c r="BB203" s="176">
        <f>L203-AV203</f>
        <v>0</v>
      </c>
      <c r="BC203" s="262">
        <f t="shared" si="480"/>
        <v>0</v>
      </c>
      <c r="BD203" s="176">
        <v>0</v>
      </c>
      <c r="BE203" s="262">
        <v>0</v>
      </c>
      <c r="BF203" s="176">
        <f>BH203+BJ203</f>
        <v>690</v>
      </c>
      <c r="BG203" s="373">
        <f t="shared" si="494"/>
        <v>1</v>
      </c>
      <c r="BH203" s="176">
        <f>690</f>
        <v>690</v>
      </c>
      <c r="BI203" s="373">
        <f t="shared" si="495"/>
        <v>1</v>
      </c>
      <c r="BJ203" s="176">
        <v>0</v>
      </c>
      <c r="BK203" s="373">
        <v>0</v>
      </c>
      <c r="BL203" s="176">
        <f>BN203+BP203</f>
        <v>0</v>
      </c>
      <c r="BM203" s="374">
        <f t="shared" si="505"/>
        <v>0</v>
      </c>
      <c r="BN203" s="176">
        <f t="shared" ref="BN203:BN204" si="559">AV203-BH203</f>
        <v>0</v>
      </c>
      <c r="BO203" s="374">
        <f t="shared" si="497"/>
        <v>0</v>
      </c>
      <c r="BP203" s="176">
        <v>0</v>
      </c>
      <c r="BQ203" s="374">
        <v>0</v>
      </c>
      <c r="BR203" s="176">
        <f t="shared" si="548"/>
        <v>0</v>
      </c>
      <c r="BS203" s="147">
        <f t="shared" si="488"/>
        <v>0</v>
      </c>
      <c r="BT203" s="176">
        <f t="shared" si="553"/>
        <v>0</v>
      </c>
      <c r="BU203" s="147">
        <f t="shared" si="489"/>
        <v>0</v>
      </c>
      <c r="BV203" s="176">
        <v>0</v>
      </c>
      <c r="BW203" s="147">
        <v>0</v>
      </c>
      <c r="BX203" s="303"/>
      <c r="BY203" s="265" t="e">
        <f>AD203/S203</f>
        <v>#DIV/0!</v>
      </c>
      <c r="BZ203" s="176">
        <f>CB203+CD203</f>
        <v>0</v>
      </c>
      <c r="CA203" s="631" t="e">
        <f>SUM(BZ203/BT203)</f>
        <v>#DIV/0!</v>
      </c>
      <c r="CB203" s="176"/>
      <c r="CC203" s="631"/>
      <c r="CD203" s="176"/>
      <c r="CE203" s="631" t="e">
        <f>SUM(CD203/#REF!)</f>
        <v>#REF!</v>
      </c>
      <c r="CF203" s="161" t="s">
        <v>81</v>
      </c>
      <c r="CG203" s="161" t="s">
        <v>81</v>
      </c>
      <c r="CH203" s="176">
        <f>CI203+CJ203</f>
        <v>0</v>
      </c>
      <c r="CI203" s="272"/>
      <c r="CJ203" s="176">
        <f>CK203+CL203</f>
        <v>0</v>
      </c>
      <c r="CK203" s="273"/>
    </row>
    <row r="204" spans="2:89" s="42" customFormat="1" ht="82.5" hidden="1" customHeight="1" thickBot="1">
      <c r="B204" s="705" t="s">
        <v>342</v>
      </c>
      <c r="C204" s="720" t="s">
        <v>343</v>
      </c>
      <c r="D204" s="721"/>
      <c r="E204" s="721"/>
      <c r="F204" s="721"/>
      <c r="G204" s="721"/>
      <c r="H204" s="721"/>
      <c r="I204" s="721"/>
      <c r="J204" s="721"/>
      <c r="K204" s="714">
        <f t="shared" si="520"/>
        <v>99.5</v>
      </c>
      <c r="L204" s="176">
        <v>99.5</v>
      </c>
      <c r="M204" s="176">
        <v>0</v>
      </c>
      <c r="N204" s="176"/>
      <c r="O204" s="176">
        <f t="shared" si="554"/>
        <v>7.500230000000002</v>
      </c>
      <c r="P204" s="176"/>
      <c r="Q204" s="175">
        <f t="shared" si="532"/>
        <v>107.00023</v>
      </c>
      <c r="R204" s="175">
        <f>99.5+7.50023</f>
        <v>107.00023</v>
      </c>
      <c r="S204" s="175"/>
      <c r="T204" s="176"/>
      <c r="U204" s="607"/>
      <c r="V204" s="176"/>
      <c r="W204" s="607"/>
      <c r="X204" s="176"/>
      <c r="Y204" s="607"/>
      <c r="Z204" s="176"/>
      <c r="AA204" s="607"/>
      <c r="AB204" s="176"/>
      <c r="AC204" s="607"/>
      <c r="AD204" s="176"/>
      <c r="AE204" s="176"/>
      <c r="AF204" s="176"/>
      <c r="AG204" s="176"/>
      <c r="AH204" s="176"/>
      <c r="AI204" s="176"/>
      <c r="AJ204" s="176"/>
      <c r="AK204" s="176">
        <f>AN204+AQ204</f>
        <v>107.00023</v>
      </c>
      <c r="AL204" s="164"/>
      <c r="AM204" s="707">
        <f t="shared" si="502"/>
        <v>1.0753791959798995</v>
      </c>
      <c r="AN204" s="176">
        <f>R204</f>
        <v>107.00023</v>
      </c>
      <c r="AO204" s="608"/>
      <c r="AP204" s="707">
        <f t="shared" si="503"/>
        <v>1.0753791959798995</v>
      </c>
      <c r="AQ204" s="176">
        <v>0</v>
      </c>
      <c r="AR204" s="608" t="e">
        <f t="shared" si="475"/>
        <v>#DIV/0!</v>
      </c>
      <c r="AS204" s="707">
        <v>0</v>
      </c>
      <c r="AT204" s="176">
        <f t="shared" si="538"/>
        <v>99.5</v>
      </c>
      <c r="AU204" s="584">
        <f t="shared" si="526"/>
        <v>1</v>
      </c>
      <c r="AV204" s="176">
        <f>L204</f>
        <v>99.5</v>
      </c>
      <c r="AW204" s="373">
        <f t="shared" si="527"/>
        <v>1</v>
      </c>
      <c r="AX204" s="176">
        <v>0</v>
      </c>
      <c r="AY204" s="261">
        <v>0</v>
      </c>
      <c r="AZ204" s="176">
        <f t="shared" si="558"/>
        <v>0</v>
      </c>
      <c r="BA204" s="262">
        <f t="shared" si="479"/>
        <v>0</v>
      </c>
      <c r="BB204" s="176">
        <f>L204-AV204</f>
        <v>0</v>
      </c>
      <c r="BC204" s="262">
        <f t="shared" si="480"/>
        <v>0</v>
      </c>
      <c r="BD204" s="176">
        <v>0</v>
      </c>
      <c r="BE204" s="262">
        <v>0</v>
      </c>
      <c r="BF204" s="176">
        <f>BH204+BJ204</f>
        <v>99.5</v>
      </c>
      <c r="BG204" s="373">
        <f t="shared" si="494"/>
        <v>1</v>
      </c>
      <c r="BH204" s="176">
        <v>99.5</v>
      </c>
      <c r="BI204" s="373">
        <f t="shared" si="495"/>
        <v>1</v>
      </c>
      <c r="BJ204" s="176">
        <v>0</v>
      </c>
      <c r="BK204" s="373">
        <v>0</v>
      </c>
      <c r="BL204" s="176">
        <v>0</v>
      </c>
      <c r="BM204" s="374">
        <f t="shared" si="505"/>
        <v>0</v>
      </c>
      <c r="BN204" s="176">
        <f t="shared" si="559"/>
        <v>0</v>
      </c>
      <c r="BO204" s="374">
        <f t="shared" si="497"/>
        <v>0</v>
      </c>
      <c r="BP204" s="176">
        <v>0</v>
      </c>
      <c r="BQ204" s="374">
        <v>0</v>
      </c>
      <c r="BR204" s="176">
        <f t="shared" si="548"/>
        <v>0</v>
      </c>
      <c r="BS204" s="147">
        <f t="shared" si="488"/>
        <v>0</v>
      </c>
      <c r="BT204" s="176">
        <f t="shared" si="553"/>
        <v>0</v>
      </c>
      <c r="BU204" s="147">
        <f t="shared" si="489"/>
        <v>0</v>
      </c>
      <c r="BV204" s="176">
        <v>0</v>
      </c>
      <c r="BW204" s="147">
        <v>0</v>
      </c>
      <c r="BX204" s="513"/>
      <c r="BY204" s="265"/>
      <c r="BZ204" s="176"/>
      <c r="CA204" s="631"/>
      <c r="CB204" s="176"/>
      <c r="CC204" s="631"/>
      <c r="CD204" s="176"/>
      <c r="CE204" s="631"/>
      <c r="CF204" s="161"/>
      <c r="CG204" s="161"/>
      <c r="CH204" s="176"/>
      <c r="CI204" s="272"/>
      <c r="CJ204" s="176"/>
      <c r="CK204" s="273"/>
    </row>
    <row r="205" spans="2:89" s="42" customFormat="1" ht="35.25" hidden="1" customHeight="1" thickBot="1">
      <c r="B205" s="705" t="s">
        <v>344</v>
      </c>
      <c r="C205" s="715" t="s">
        <v>345</v>
      </c>
      <c r="D205" s="721"/>
      <c r="E205" s="721"/>
      <c r="F205" s="721"/>
      <c r="G205" s="721"/>
      <c r="H205" s="721"/>
      <c r="I205" s="721"/>
      <c r="J205" s="721"/>
      <c r="K205" s="714">
        <f t="shared" si="520"/>
        <v>5.9</v>
      </c>
      <c r="L205" s="527">
        <v>5.9</v>
      </c>
      <c r="M205" s="176">
        <v>0</v>
      </c>
      <c r="N205" s="527"/>
      <c r="O205" s="527"/>
      <c r="P205" s="527"/>
      <c r="Q205" s="529"/>
      <c r="R205" s="529"/>
      <c r="S205" s="529"/>
      <c r="T205" s="527"/>
      <c r="U205" s="722"/>
      <c r="V205" s="527"/>
      <c r="W205" s="722"/>
      <c r="X205" s="527"/>
      <c r="Y205" s="722"/>
      <c r="Z205" s="527"/>
      <c r="AA205" s="722"/>
      <c r="AB205" s="527"/>
      <c r="AC205" s="722"/>
      <c r="AD205" s="527"/>
      <c r="AE205" s="527"/>
      <c r="AF205" s="527"/>
      <c r="AG205" s="527"/>
      <c r="AH205" s="527"/>
      <c r="AI205" s="527"/>
      <c r="AJ205" s="527"/>
      <c r="AK205" s="527"/>
      <c r="AL205" s="534"/>
      <c r="AM205" s="531"/>
      <c r="AN205" s="527"/>
      <c r="AO205" s="532"/>
      <c r="AP205" s="531"/>
      <c r="AQ205" s="527"/>
      <c r="AR205" s="532"/>
      <c r="AS205" s="531"/>
      <c r="AT205" s="176">
        <f t="shared" si="538"/>
        <v>0</v>
      </c>
      <c r="AU205" s="584">
        <f t="shared" si="526"/>
        <v>0</v>
      </c>
      <c r="AV205" s="527">
        <v>0</v>
      </c>
      <c r="AW205" s="373">
        <f t="shared" si="527"/>
        <v>0</v>
      </c>
      <c r="AX205" s="176">
        <v>0</v>
      </c>
      <c r="AY205" s="261">
        <v>0</v>
      </c>
      <c r="AZ205" s="176">
        <f t="shared" si="558"/>
        <v>5.9</v>
      </c>
      <c r="BA205" s="262">
        <f t="shared" si="479"/>
        <v>1</v>
      </c>
      <c r="BB205" s="176">
        <f>L205-AV205</f>
        <v>5.9</v>
      </c>
      <c r="BC205" s="262">
        <f t="shared" si="480"/>
        <v>1</v>
      </c>
      <c r="BD205" s="176">
        <v>0</v>
      </c>
      <c r="BE205" s="262">
        <v>0</v>
      </c>
      <c r="BF205" s="176">
        <f>BH205+BJ205</f>
        <v>0</v>
      </c>
      <c r="BG205" s="373" t="e">
        <f t="shared" si="494"/>
        <v>#DIV/0!</v>
      </c>
      <c r="BH205" s="527"/>
      <c r="BI205" s="723"/>
      <c r="BJ205" s="527"/>
      <c r="BK205" s="723"/>
      <c r="BL205" s="176">
        <v>0</v>
      </c>
      <c r="BM205" s="235"/>
      <c r="BN205" s="527"/>
      <c r="BO205" s="235"/>
      <c r="BP205" s="527"/>
      <c r="BQ205" s="235"/>
      <c r="BR205" s="176">
        <f t="shared" si="548"/>
        <v>5.9</v>
      </c>
      <c r="BS205" s="724"/>
      <c r="BT205" s="176">
        <f t="shared" si="553"/>
        <v>5.9</v>
      </c>
      <c r="BU205" s="724"/>
      <c r="BV205" s="527"/>
      <c r="BW205" s="724"/>
      <c r="BX205" s="725"/>
      <c r="BY205" s="265"/>
      <c r="BZ205" s="176"/>
      <c r="CA205" s="631"/>
      <c r="CB205" s="176"/>
      <c r="CC205" s="631"/>
      <c r="CD205" s="176"/>
      <c r="CE205" s="631"/>
      <c r="CF205" s="161"/>
      <c r="CG205" s="161"/>
      <c r="CH205" s="176"/>
      <c r="CI205" s="272"/>
      <c r="CJ205" s="176"/>
      <c r="CK205" s="273"/>
    </row>
    <row r="206" spans="2:89" s="88" customFormat="1" ht="28.5" customHeight="1" thickBot="1">
      <c r="B206" s="1199" t="s">
        <v>346</v>
      </c>
      <c r="C206" s="1200"/>
      <c r="D206" s="726"/>
      <c r="E206" s="677" t="e">
        <f t="shared" ref="E206:T206" si="560">E166</f>
        <v>#REF!</v>
      </c>
      <c r="F206" s="677" t="e">
        <f t="shared" si="560"/>
        <v>#REF!</v>
      </c>
      <c r="G206" s="677" t="e">
        <f t="shared" si="560"/>
        <v>#REF!</v>
      </c>
      <c r="H206" s="677" t="e">
        <f t="shared" si="560"/>
        <v>#REF!</v>
      </c>
      <c r="I206" s="677" t="e">
        <f t="shared" si="560"/>
        <v>#REF!</v>
      </c>
      <c r="J206" s="677" t="e">
        <f t="shared" si="560"/>
        <v>#REF!</v>
      </c>
      <c r="K206" s="90">
        <f t="shared" si="560"/>
        <v>771900.22019999998</v>
      </c>
      <c r="L206" s="90">
        <f t="shared" si="560"/>
        <v>771900.22019999998</v>
      </c>
      <c r="M206" s="90">
        <f t="shared" si="560"/>
        <v>0</v>
      </c>
      <c r="N206" s="90">
        <f t="shared" si="560"/>
        <v>-1.1641532182693481E-10</v>
      </c>
      <c r="O206" s="90">
        <f t="shared" si="560"/>
        <v>-1.1641532182693481E-10</v>
      </c>
      <c r="P206" s="90">
        <f t="shared" si="560"/>
        <v>0</v>
      </c>
      <c r="Q206" s="677">
        <f t="shared" si="560"/>
        <v>771900.22019999987</v>
      </c>
      <c r="R206" s="677">
        <f t="shared" si="560"/>
        <v>771900.22019999987</v>
      </c>
      <c r="S206" s="677">
        <f t="shared" si="560"/>
        <v>0</v>
      </c>
      <c r="T206" s="90" t="e">
        <f t="shared" si="560"/>
        <v>#REF!</v>
      </c>
      <c r="U206" s="91" t="e">
        <f t="shared" si="509"/>
        <v>#REF!</v>
      </c>
      <c r="V206" s="90" t="e">
        <f>V166</f>
        <v>#REF!</v>
      </c>
      <c r="W206" s="91" t="e">
        <f t="shared" si="510"/>
        <v>#REF!</v>
      </c>
      <c r="X206" s="90" t="e">
        <f>X166</f>
        <v>#REF!</v>
      </c>
      <c r="Y206" s="91">
        <v>0</v>
      </c>
      <c r="Z206" s="90" t="e">
        <f>Z166</f>
        <v>#REF!</v>
      </c>
      <c r="AA206" s="91" t="e">
        <f t="shared" si="511"/>
        <v>#REF!</v>
      </c>
      <c r="AB206" s="90" t="e">
        <f>AB166</f>
        <v>#REF!</v>
      </c>
      <c r="AC206" s="91" t="e">
        <f t="shared" si="513"/>
        <v>#REF!</v>
      </c>
      <c r="AD206" s="90" t="e">
        <f t="shared" ref="AD206:AK206" si="561">AD166</f>
        <v>#REF!</v>
      </c>
      <c r="AE206" s="90" t="e">
        <f t="shared" si="561"/>
        <v>#REF!</v>
      </c>
      <c r="AF206" s="90" t="e">
        <f t="shared" si="561"/>
        <v>#REF!</v>
      </c>
      <c r="AG206" s="90" t="e">
        <f t="shared" si="561"/>
        <v>#REF!</v>
      </c>
      <c r="AH206" s="90" t="e">
        <f t="shared" si="561"/>
        <v>#REF!</v>
      </c>
      <c r="AI206" s="90" t="e">
        <f t="shared" si="561"/>
        <v>#REF!</v>
      </c>
      <c r="AJ206" s="90" t="e">
        <f t="shared" si="561"/>
        <v>#REF!</v>
      </c>
      <c r="AK206" s="90">
        <f t="shared" si="561"/>
        <v>91623.282550000004</v>
      </c>
      <c r="AL206" s="209" t="e">
        <f t="shared" si="472"/>
        <v>#REF!</v>
      </c>
      <c r="AM206" s="208">
        <f>AK206/K206</f>
        <v>0.11869835006169624</v>
      </c>
      <c r="AN206" s="90">
        <f>AN166</f>
        <v>91623.282550000004</v>
      </c>
      <c r="AO206" s="727" t="e">
        <f t="shared" si="474"/>
        <v>#REF!</v>
      </c>
      <c r="AP206" s="208">
        <f>AN206/L206</f>
        <v>0.11869835006169624</v>
      </c>
      <c r="AQ206" s="90">
        <f>AQ166</f>
        <v>0</v>
      </c>
      <c r="AR206" s="727" t="e">
        <f t="shared" si="475"/>
        <v>#REF!</v>
      </c>
      <c r="AS206" s="208">
        <v>0</v>
      </c>
      <c r="AT206" s="90">
        <f>AT166</f>
        <v>729452.40616000001</v>
      </c>
      <c r="AU206" s="208">
        <f t="shared" si="526"/>
        <v>0.94500867737930982</v>
      </c>
      <c r="AV206" s="90">
        <f>AV166</f>
        <v>729452.40616000001</v>
      </c>
      <c r="AW206" s="728">
        <f t="shared" si="527"/>
        <v>0.94500867737930982</v>
      </c>
      <c r="AX206" s="90">
        <f>AX166</f>
        <v>0</v>
      </c>
      <c r="AY206" s="728">
        <v>0</v>
      </c>
      <c r="AZ206" s="90">
        <f>AZ166</f>
        <v>42447.814039999976</v>
      </c>
      <c r="BA206" s="728">
        <f t="shared" si="479"/>
        <v>5.4991322620690161E-2</v>
      </c>
      <c r="BB206" s="90">
        <f>BB166</f>
        <v>42447.814040000027</v>
      </c>
      <c r="BC206" s="728">
        <f t="shared" si="480"/>
        <v>5.4991322620690231E-2</v>
      </c>
      <c r="BD206" s="90">
        <f>BD166</f>
        <v>0</v>
      </c>
      <c r="BE206" s="728">
        <v>0</v>
      </c>
      <c r="BF206" s="90">
        <f>BF166</f>
        <v>729452.40616000001</v>
      </c>
      <c r="BG206" s="728">
        <f t="shared" si="494"/>
        <v>1</v>
      </c>
      <c r="BH206" s="90">
        <f>BH166</f>
        <v>729452.40616000001</v>
      </c>
      <c r="BI206" s="728">
        <f t="shared" si="495"/>
        <v>1</v>
      </c>
      <c r="BJ206" s="90">
        <f>BJ166</f>
        <v>0</v>
      </c>
      <c r="BK206" s="728">
        <v>0</v>
      </c>
      <c r="BL206" s="90">
        <f t="shared" ref="BL206:BV206" si="562">BL166</f>
        <v>0</v>
      </c>
      <c r="BM206" s="728">
        <f t="shared" si="505"/>
        <v>0</v>
      </c>
      <c r="BN206" s="90">
        <f t="shared" si="562"/>
        <v>0</v>
      </c>
      <c r="BO206" s="728">
        <f t="shared" si="497"/>
        <v>0</v>
      </c>
      <c r="BP206" s="90">
        <f t="shared" si="562"/>
        <v>0</v>
      </c>
      <c r="BQ206" s="728">
        <v>0</v>
      </c>
      <c r="BR206" s="90">
        <f t="shared" si="562"/>
        <v>42447.814039999976</v>
      </c>
      <c r="BS206" s="208">
        <f t="shared" si="488"/>
        <v>5.4991322620690161E-2</v>
      </c>
      <c r="BT206" s="90">
        <f t="shared" si="562"/>
        <v>42447.814039999976</v>
      </c>
      <c r="BU206" s="208">
        <f t="shared" si="489"/>
        <v>5.4991322620690161E-2</v>
      </c>
      <c r="BV206" s="90">
        <f t="shared" si="562"/>
        <v>0</v>
      </c>
      <c r="BW206" s="208">
        <v>0</v>
      </c>
      <c r="BX206" s="677"/>
      <c r="BY206" s="678">
        <v>0</v>
      </c>
      <c r="BZ206" s="214" t="e">
        <f>BZ166</f>
        <v>#REF!</v>
      </c>
      <c r="CA206" s="729" t="e">
        <f>SUM(BZ206/BT206)</f>
        <v>#REF!</v>
      </c>
      <c r="CB206" s="214" t="e">
        <f>CB166</f>
        <v>#REF!</v>
      </c>
      <c r="CC206" s="729" t="e">
        <f>SUM(CB206/BV206)</f>
        <v>#REF!</v>
      </c>
      <c r="CD206" s="214" t="e">
        <f>CD166</f>
        <v>#REF!</v>
      </c>
      <c r="CE206" s="729" t="e">
        <f>SUM(CD206/#REF!)</f>
        <v>#REF!</v>
      </c>
      <c r="CF206" s="214" t="s">
        <v>81</v>
      </c>
      <c r="CG206" s="214" t="s">
        <v>81</v>
      </c>
      <c r="CH206" s="214">
        <f>CH166</f>
        <v>0</v>
      </c>
      <c r="CI206" s="730"/>
      <c r="CJ206" s="214">
        <f>CJ166</f>
        <v>0</v>
      </c>
      <c r="CK206" s="731"/>
    </row>
    <row r="207" spans="2:89" s="737" customFormat="1" ht="36" customHeight="1" thickBot="1">
      <c r="B207" s="1173" t="s">
        <v>347</v>
      </c>
      <c r="C207" s="1174"/>
      <c r="D207" s="732"/>
      <c r="E207" s="74" t="e">
        <f t="shared" ref="E207:P207" si="563">E124+E162+E206</f>
        <v>#REF!</v>
      </c>
      <c r="F207" s="74" t="e">
        <f t="shared" si="563"/>
        <v>#REF!</v>
      </c>
      <c r="G207" s="74" t="e">
        <f t="shared" si="563"/>
        <v>#REF!</v>
      </c>
      <c r="H207" s="74" t="e">
        <f t="shared" si="563"/>
        <v>#REF!</v>
      </c>
      <c r="I207" s="74" t="e">
        <f t="shared" si="563"/>
        <v>#REF!</v>
      </c>
      <c r="J207" s="74" t="e">
        <f t="shared" si="563"/>
        <v>#REF!</v>
      </c>
      <c r="K207" s="75">
        <f t="shared" si="563"/>
        <v>8731096.3910600003</v>
      </c>
      <c r="L207" s="75">
        <f t="shared" si="563"/>
        <v>8053399.4218800003</v>
      </c>
      <c r="M207" s="75">
        <f t="shared" si="563"/>
        <v>677696.96918000001</v>
      </c>
      <c r="N207" s="75">
        <f t="shared" si="563"/>
        <v>100154.14708000013</v>
      </c>
      <c r="O207" s="75">
        <f t="shared" si="563"/>
        <v>100154.14708000013</v>
      </c>
      <c r="P207" s="75">
        <f t="shared" si="563"/>
        <v>0</v>
      </c>
      <c r="Q207" s="74">
        <f>SUM(Q124,Q162,Q206)</f>
        <v>8820921.7606300004</v>
      </c>
      <c r="R207" s="74">
        <f>R124+R162+R206</f>
        <v>8143224.7914499994</v>
      </c>
      <c r="S207" s="74">
        <f>S124+S162+S206</f>
        <v>677696.96918000001</v>
      </c>
      <c r="T207" s="75" t="e">
        <f>T124+T162+T206</f>
        <v>#REF!</v>
      </c>
      <c r="U207" s="76" t="e">
        <f t="shared" si="509"/>
        <v>#REF!</v>
      </c>
      <c r="V207" s="75" t="e">
        <f>V124+V162+V206</f>
        <v>#REF!</v>
      </c>
      <c r="W207" s="76" t="e">
        <f t="shared" si="510"/>
        <v>#REF!</v>
      </c>
      <c r="X207" s="75" t="e">
        <f>X124+X162+X206</f>
        <v>#REF!</v>
      </c>
      <c r="Y207" s="76" t="e">
        <f t="shared" ref="Y207:Y210" si="564">X207/S207</f>
        <v>#REF!</v>
      </c>
      <c r="Z207" s="75" t="e">
        <f>Z124+Z162+Z206</f>
        <v>#REF!</v>
      </c>
      <c r="AA207" s="76" t="e">
        <f t="shared" si="511"/>
        <v>#REF!</v>
      </c>
      <c r="AB207" s="75" t="e">
        <f>AB124+AB162+AB206</f>
        <v>#REF!</v>
      </c>
      <c r="AC207" s="76" t="e">
        <f t="shared" si="513"/>
        <v>#REF!</v>
      </c>
      <c r="AD207" s="75" t="e">
        <f t="shared" ref="AD207:AK207" si="565">AD124+AD162+AD206</f>
        <v>#REF!</v>
      </c>
      <c r="AE207" s="75" t="e">
        <f t="shared" si="565"/>
        <v>#REF!</v>
      </c>
      <c r="AF207" s="75" t="e">
        <f t="shared" si="565"/>
        <v>#REF!</v>
      </c>
      <c r="AG207" s="75" t="e">
        <f t="shared" si="565"/>
        <v>#REF!</v>
      </c>
      <c r="AH207" s="75" t="e">
        <f t="shared" si="565"/>
        <v>#REF!</v>
      </c>
      <c r="AI207" s="75" t="e">
        <f t="shared" si="565"/>
        <v>#REF!</v>
      </c>
      <c r="AJ207" s="75" t="e">
        <f t="shared" si="565"/>
        <v>#REF!</v>
      </c>
      <c r="AK207" s="75">
        <f t="shared" si="565"/>
        <v>2428275.8202800001</v>
      </c>
      <c r="AL207" s="470" t="e">
        <f t="shared" si="472"/>
        <v>#REF!</v>
      </c>
      <c r="AM207" s="469">
        <f>AK207/K207</f>
        <v>0.27811808637989333</v>
      </c>
      <c r="AN207" s="75">
        <f>AN124+AN162+AN206</f>
        <v>2041305.64188</v>
      </c>
      <c r="AO207" s="470" t="e">
        <f t="shared" si="474"/>
        <v>#REF!</v>
      </c>
      <c r="AP207" s="469">
        <f>AN207/L207</f>
        <v>0.25347130260720063</v>
      </c>
      <c r="AQ207" s="75">
        <f>AQ124+AQ162+AQ206</f>
        <v>386970.17839999998</v>
      </c>
      <c r="AR207" s="470" t="e">
        <f t="shared" si="475"/>
        <v>#REF!</v>
      </c>
      <c r="AS207" s="469">
        <f>AQ207/M207</f>
        <v>0.57100768632361787</v>
      </c>
      <c r="AT207" s="75">
        <f>AT124+AT162+AT206</f>
        <v>8355599.9606399992</v>
      </c>
      <c r="AU207" s="469">
        <f t="shared" si="526"/>
        <v>0.95699320983279013</v>
      </c>
      <c r="AV207" s="75">
        <f>AV124+AV162+AV206</f>
        <v>7700396.9727999987</v>
      </c>
      <c r="AW207" s="471">
        <f t="shared" si="527"/>
        <v>0.95616727414252656</v>
      </c>
      <c r="AX207" s="75">
        <f>AX124+AX162+AX206</f>
        <v>655202.98783999996</v>
      </c>
      <c r="AY207" s="471">
        <f>AX207/M207</f>
        <v>0.96680820135994217</v>
      </c>
      <c r="AZ207" s="75">
        <f>AZ124+AZ162+AZ206</f>
        <v>375496.3997500001</v>
      </c>
      <c r="BA207" s="471">
        <f t="shared" si="479"/>
        <v>4.3006786654477984E-2</v>
      </c>
      <c r="BB207" s="75">
        <f>BB124+BB162+BB206</f>
        <v>353002.44908000017</v>
      </c>
      <c r="BC207" s="471">
        <f t="shared" si="480"/>
        <v>4.3832725857473318E-2</v>
      </c>
      <c r="BD207" s="75">
        <f>BD124+BD162+BD206</f>
        <v>22493.981339999998</v>
      </c>
      <c r="BE207" s="471">
        <f>BD207/S207</f>
        <v>3.3191798640057772E-2</v>
      </c>
      <c r="BF207" s="75">
        <f t="shared" ref="BF207:BV207" si="566">BF124+BF162+BF206</f>
        <v>8355600.3596799998</v>
      </c>
      <c r="BG207" s="471">
        <f t="shared" si="494"/>
        <v>1.0000000477571931</v>
      </c>
      <c r="BH207" s="75">
        <f t="shared" si="566"/>
        <v>7700397.3718399992</v>
      </c>
      <c r="BI207" s="471">
        <f t="shared" si="495"/>
        <v>1.0000000518207051</v>
      </c>
      <c r="BJ207" s="75">
        <f t="shared" si="566"/>
        <v>655202.98783999996</v>
      </c>
      <c r="BK207" s="471">
        <v>0</v>
      </c>
      <c r="BL207" s="75">
        <f t="shared" si="566"/>
        <v>-0.3990400000475347</v>
      </c>
      <c r="BM207" s="471">
        <f t="shared" si="505"/>
        <v>-4.77571930115441E-8</v>
      </c>
      <c r="BN207" s="75">
        <f t="shared" si="566"/>
        <v>-0.3990400000475347</v>
      </c>
      <c r="BO207" s="471">
        <f t="shared" si="497"/>
        <v>-5.1820705017813751E-8</v>
      </c>
      <c r="BP207" s="75">
        <f t="shared" si="566"/>
        <v>0</v>
      </c>
      <c r="BQ207" s="471">
        <v>0</v>
      </c>
      <c r="BR207" s="75">
        <f t="shared" si="566"/>
        <v>375496.03137999983</v>
      </c>
      <c r="BS207" s="469">
        <f t="shared" si="488"/>
        <v>4.3006744463900334E-2</v>
      </c>
      <c r="BT207" s="75">
        <f t="shared" si="566"/>
        <v>353002.05003999983</v>
      </c>
      <c r="BU207" s="469">
        <f t="shared" si="489"/>
        <v>4.383267630821102E-2</v>
      </c>
      <c r="BV207" s="75">
        <f t="shared" si="566"/>
        <v>22493.981339999998</v>
      </c>
      <c r="BW207" s="469">
        <v>0</v>
      </c>
      <c r="BX207" s="74"/>
      <c r="BY207" s="475" t="e">
        <f>AD207/S207</f>
        <v>#REF!</v>
      </c>
      <c r="BZ207" s="476" t="e">
        <f>BZ124+BZ162+BZ206</f>
        <v>#REF!</v>
      </c>
      <c r="CA207" s="733" t="e">
        <f>SUM(BZ207/BT207)</f>
        <v>#REF!</v>
      </c>
      <c r="CB207" s="476" t="e">
        <f>CB124+CB162+CB206</f>
        <v>#REF!</v>
      </c>
      <c r="CC207" s="733" t="e">
        <f>SUM(CB207/BV207)</f>
        <v>#REF!</v>
      </c>
      <c r="CD207" s="476" t="e">
        <f>CD124+CD162+CD206</f>
        <v>#REF!</v>
      </c>
      <c r="CE207" s="733" t="e">
        <f>SUM(CD207/#REF!)</f>
        <v>#REF!</v>
      </c>
      <c r="CF207" s="476" t="s">
        <v>348</v>
      </c>
      <c r="CG207" s="734" t="s">
        <v>349</v>
      </c>
      <c r="CH207" s="476">
        <f>CH124+CH162+CH206</f>
        <v>0</v>
      </c>
      <c r="CI207" s="735"/>
      <c r="CJ207" s="476">
        <f>CJ124+CJ162+CJ206</f>
        <v>0</v>
      </c>
      <c r="CK207" s="736"/>
    </row>
    <row r="208" spans="2:89" s="294" customFormat="1" ht="38.25" customHeight="1">
      <c r="B208" s="1191" t="s">
        <v>201</v>
      </c>
      <c r="C208" s="1192"/>
      <c r="D208" s="738"/>
      <c r="E208" s="115" t="e">
        <f>F208+G208</f>
        <v>#REF!</v>
      </c>
      <c r="F208" s="115" t="e">
        <f>F21+F163</f>
        <v>#REF!</v>
      </c>
      <c r="G208" s="115" t="e">
        <f>G21+G163</f>
        <v>#REF!</v>
      </c>
      <c r="H208" s="115" t="e">
        <f>H21+H163</f>
        <v>#REF!</v>
      </c>
      <c r="I208" s="115" t="e">
        <f>I21+I163</f>
        <v>#REF!</v>
      </c>
      <c r="J208" s="115" t="e">
        <f>J21+J163</f>
        <v>#REF!</v>
      </c>
      <c r="K208" s="116">
        <f t="shared" ref="K208:T208" si="567">K137</f>
        <v>656500</v>
      </c>
      <c r="L208" s="116">
        <f t="shared" si="567"/>
        <v>656500</v>
      </c>
      <c r="M208" s="116">
        <f t="shared" si="567"/>
        <v>0</v>
      </c>
      <c r="N208" s="116">
        <f t="shared" si="567"/>
        <v>0</v>
      </c>
      <c r="O208" s="116">
        <f t="shared" si="567"/>
        <v>0</v>
      </c>
      <c r="P208" s="116">
        <f t="shared" si="567"/>
        <v>0</v>
      </c>
      <c r="Q208" s="115">
        <f t="shared" si="567"/>
        <v>656500</v>
      </c>
      <c r="R208" s="115">
        <f t="shared" si="567"/>
        <v>656500</v>
      </c>
      <c r="S208" s="115">
        <f t="shared" si="567"/>
        <v>0</v>
      </c>
      <c r="T208" s="116">
        <f t="shared" si="567"/>
        <v>656500</v>
      </c>
      <c r="U208" s="683">
        <f t="shared" si="509"/>
        <v>1</v>
      </c>
      <c r="V208" s="116">
        <f>V137</f>
        <v>656500</v>
      </c>
      <c r="W208" s="683">
        <f t="shared" si="510"/>
        <v>1</v>
      </c>
      <c r="X208" s="116">
        <f>X137</f>
        <v>0</v>
      </c>
      <c r="Y208" s="683">
        <v>0</v>
      </c>
      <c r="Z208" s="116">
        <f>Z137</f>
        <v>0</v>
      </c>
      <c r="AA208" s="683">
        <f t="shared" si="511"/>
        <v>0</v>
      </c>
      <c r="AB208" s="116">
        <f>AB137</f>
        <v>0</v>
      </c>
      <c r="AC208" s="683">
        <f t="shared" si="513"/>
        <v>0</v>
      </c>
      <c r="AD208" s="116">
        <f t="shared" ref="AD208:AJ208" si="568">AD137</f>
        <v>0</v>
      </c>
      <c r="AE208" s="116">
        <f t="shared" si="568"/>
        <v>0</v>
      </c>
      <c r="AF208" s="116">
        <f t="shared" si="568"/>
        <v>0</v>
      </c>
      <c r="AG208" s="116">
        <f t="shared" si="568"/>
        <v>0</v>
      </c>
      <c r="AH208" s="116">
        <f t="shared" si="568"/>
        <v>66275.054879999996</v>
      </c>
      <c r="AI208" s="116">
        <f t="shared" si="568"/>
        <v>66275.054879999996</v>
      </c>
      <c r="AJ208" s="116">
        <f t="shared" si="568"/>
        <v>0</v>
      </c>
      <c r="AK208" s="116">
        <f>AK163+AK125</f>
        <v>94425.293600000005</v>
      </c>
      <c r="AL208" s="116">
        <f>AL137</f>
        <v>1.0563988832113058</v>
      </c>
      <c r="AM208" s="600">
        <f>AK208/K208</f>
        <v>0.14383136877380046</v>
      </c>
      <c r="AN208" s="116">
        <f>AN163+AN125</f>
        <v>94425.293600000005</v>
      </c>
      <c r="AO208" s="116">
        <f>AO137</f>
        <v>1.0563988832113058</v>
      </c>
      <c r="AP208" s="600">
        <f t="shared" ref="AP208:AP209" si="569">AN208/L208</f>
        <v>0.14383136877380046</v>
      </c>
      <c r="AQ208" s="116">
        <f>AQ137</f>
        <v>0</v>
      </c>
      <c r="AR208" s="116" t="e">
        <f>AR137</f>
        <v>#DIV/0!</v>
      </c>
      <c r="AS208" s="600">
        <v>0</v>
      </c>
      <c r="AT208" s="116">
        <f>AT163+AT125</f>
        <v>656500</v>
      </c>
      <c r="AU208" s="600">
        <f t="shared" si="526"/>
        <v>1</v>
      </c>
      <c r="AV208" s="116">
        <f>AV163+AV125</f>
        <v>656500</v>
      </c>
      <c r="AW208" s="150">
        <f t="shared" si="527"/>
        <v>1</v>
      </c>
      <c r="AX208" s="116">
        <f>AX137</f>
        <v>0</v>
      </c>
      <c r="AY208" s="150">
        <v>0</v>
      </c>
      <c r="AZ208" s="116">
        <f>AZ137</f>
        <v>0</v>
      </c>
      <c r="BA208" s="150">
        <f t="shared" si="479"/>
        <v>0</v>
      </c>
      <c r="BB208" s="116">
        <f>BB137</f>
        <v>0</v>
      </c>
      <c r="BC208" s="150">
        <f t="shared" si="480"/>
        <v>0</v>
      </c>
      <c r="BD208" s="116">
        <f>BD137</f>
        <v>0</v>
      </c>
      <c r="BE208" s="150">
        <v>0</v>
      </c>
      <c r="BF208" s="116">
        <f>BF163+BF125</f>
        <v>656500</v>
      </c>
      <c r="BG208" s="150">
        <f t="shared" si="494"/>
        <v>1</v>
      </c>
      <c r="BH208" s="116">
        <f>BH163+BH125</f>
        <v>656500</v>
      </c>
      <c r="BI208" s="150">
        <f t="shared" si="495"/>
        <v>1</v>
      </c>
      <c r="BJ208" s="116">
        <f>BJ137</f>
        <v>0</v>
      </c>
      <c r="BK208" s="150">
        <v>0</v>
      </c>
      <c r="BL208" s="116">
        <f t="shared" ref="BL208:BV208" si="570">BL137</f>
        <v>0</v>
      </c>
      <c r="BM208" s="150">
        <f t="shared" si="505"/>
        <v>0</v>
      </c>
      <c r="BN208" s="116">
        <f t="shared" si="570"/>
        <v>0</v>
      </c>
      <c r="BO208" s="150">
        <f t="shared" si="497"/>
        <v>0</v>
      </c>
      <c r="BP208" s="116">
        <f t="shared" si="570"/>
        <v>0</v>
      </c>
      <c r="BQ208" s="150">
        <v>0</v>
      </c>
      <c r="BR208" s="116">
        <f t="shared" si="570"/>
        <v>0</v>
      </c>
      <c r="BS208" s="600">
        <f t="shared" si="488"/>
        <v>0</v>
      </c>
      <c r="BT208" s="116">
        <f t="shared" si="570"/>
        <v>0</v>
      </c>
      <c r="BU208" s="600">
        <f t="shared" si="489"/>
        <v>0</v>
      </c>
      <c r="BV208" s="116">
        <f t="shared" si="570"/>
        <v>0</v>
      </c>
      <c r="BW208" s="600">
        <v>0</v>
      </c>
      <c r="BX208" s="115"/>
      <c r="BY208" s="290">
        <v>0</v>
      </c>
      <c r="BZ208" s="152" t="e">
        <f t="shared" ref="BZ208:CE208" si="571">BZ137</f>
        <v>#REF!</v>
      </c>
      <c r="CA208" s="152" t="e">
        <f t="shared" si="571"/>
        <v>#REF!</v>
      </c>
      <c r="CB208" s="152" t="e">
        <f t="shared" si="571"/>
        <v>#REF!</v>
      </c>
      <c r="CC208" s="152" t="e">
        <f t="shared" si="571"/>
        <v>#REF!</v>
      </c>
      <c r="CD208" s="152">
        <f t="shared" si="571"/>
        <v>0</v>
      </c>
      <c r="CE208" s="152">
        <f t="shared" si="571"/>
        <v>0</v>
      </c>
      <c r="CF208" s="152" t="s">
        <v>81</v>
      </c>
      <c r="CG208" s="152" t="s">
        <v>81</v>
      </c>
      <c r="CH208" s="152">
        <f>CH137</f>
        <v>0</v>
      </c>
      <c r="CI208" s="292"/>
      <c r="CJ208" s="152">
        <f>CJ137</f>
        <v>0</v>
      </c>
      <c r="CK208" s="293"/>
    </row>
    <row r="209" spans="2:91" s="572" customFormat="1" ht="27.75" customHeight="1">
      <c r="B209" s="1193" t="s">
        <v>286</v>
      </c>
      <c r="C209" s="1194"/>
      <c r="D209" s="739"/>
      <c r="E209" s="160" t="e">
        <f>F209+G209</f>
        <v>#REF!</v>
      </c>
      <c r="F209" s="160" t="e">
        <f t="shared" ref="F209:AK209" si="572">F207-F208</f>
        <v>#REF!</v>
      </c>
      <c r="G209" s="160" t="e">
        <f t="shared" si="572"/>
        <v>#REF!</v>
      </c>
      <c r="H209" s="160" t="e">
        <f t="shared" si="572"/>
        <v>#REF!</v>
      </c>
      <c r="I209" s="160" t="e">
        <f t="shared" si="572"/>
        <v>#REF!</v>
      </c>
      <c r="J209" s="160" t="e">
        <f t="shared" si="572"/>
        <v>#REF!</v>
      </c>
      <c r="K209" s="161">
        <f t="shared" si="572"/>
        <v>8074596.3910600003</v>
      </c>
      <c r="L209" s="161">
        <f t="shared" si="572"/>
        <v>7396899.4218800003</v>
      </c>
      <c r="M209" s="161">
        <f t="shared" si="572"/>
        <v>677696.96918000001</v>
      </c>
      <c r="N209" s="161">
        <f t="shared" si="572"/>
        <v>100154.14708000013</v>
      </c>
      <c r="O209" s="161">
        <f t="shared" si="572"/>
        <v>100154.14708000013</v>
      </c>
      <c r="P209" s="161">
        <f t="shared" si="572"/>
        <v>0</v>
      </c>
      <c r="Q209" s="160">
        <f t="shared" si="572"/>
        <v>8164421.7606300004</v>
      </c>
      <c r="R209" s="160">
        <f t="shared" si="572"/>
        <v>7486724.7914499994</v>
      </c>
      <c r="S209" s="160">
        <f t="shared" si="572"/>
        <v>677696.96918000001</v>
      </c>
      <c r="T209" s="161" t="e">
        <f t="shared" si="572"/>
        <v>#REF!</v>
      </c>
      <c r="U209" s="583" t="e">
        <f t="shared" si="509"/>
        <v>#REF!</v>
      </c>
      <c r="V209" s="161" t="e">
        <f t="shared" si="572"/>
        <v>#REF!</v>
      </c>
      <c r="W209" s="583" t="e">
        <f t="shared" si="510"/>
        <v>#REF!</v>
      </c>
      <c r="X209" s="161" t="e">
        <f t="shared" si="572"/>
        <v>#REF!</v>
      </c>
      <c r="Y209" s="583" t="e">
        <f t="shared" si="564"/>
        <v>#REF!</v>
      </c>
      <c r="Z209" s="161" t="e">
        <f t="shared" si="572"/>
        <v>#REF!</v>
      </c>
      <c r="AA209" s="583" t="e">
        <f t="shared" si="511"/>
        <v>#REF!</v>
      </c>
      <c r="AB209" s="161" t="e">
        <f t="shared" si="572"/>
        <v>#REF!</v>
      </c>
      <c r="AC209" s="583" t="e">
        <f t="shared" si="513"/>
        <v>#REF!</v>
      </c>
      <c r="AD209" s="161" t="e">
        <f t="shared" si="572"/>
        <v>#REF!</v>
      </c>
      <c r="AE209" s="161" t="e">
        <f t="shared" si="572"/>
        <v>#REF!</v>
      </c>
      <c r="AF209" s="161" t="e">
        <f t="shared" si="572"/>
        <v>#REF!</v>
      </c>
      <c r="AG209" s="161" t="e">
        <f t="shared" si="572"/>
        <v>#REF!</v>
      </c>
      <c r="AH209" s="161" t="e">
        <f t="shared" si="572"/>
        <v>#REF!</v>
      </c>
      <c r="AI209" s="161" t="e">
        <f t="shared" si="572"/>
        <v>#REF!</v>
      </c>
      <c r="AJ209" s="161" t="e">
        <f t="shared" si="572"/>
        <v>#REF!</v>
      </c>
      <c r="AK209" s="161">
        <f t="shared" si="572"/>
        <v>2333850.5266800001</v>
      </c>
      <c r="AL209" s="164" t="e">
        <f t="shared" si="472"/>
        <v>#REF!</v>
      </c>
      <c r="AM209" s="163">
        <f>AK209/K209</f>
        <v>0.28903618381025009</v>
      </c>
      <c r="AN209" s="161">
        <f>AN207-AN208</f>
        <v>1946880.34828</v>
      </c>
      <c r="AO209" s="164" t="e">
        <f t="shared" si="474"/>
        <v>#REF!</v>
      </c>
      <c r="AP209" s="163">
        <f t="shared" si="569"/>
        <v>0.26320221990867354</v>
      </c>
      <c r="AQ209" s="161">
        <f>AQ207-AQ208</f>
        <v>386970.17839999998</v>
      </c>
      <c r="AR209" s="164" t="e">
        <f t="shared" si="475"/>
        <v>#REF!</v>
      </c>
      <c r="AS209" s="163">
        <f t="shared" ref="AS209:AS210" si="573">AQ209/M209</f>
        <v>0.57100768632361787</v>
      </c>
      <c r="AT209" s="161">
        <f>AT207-AT208</f>
        <v>7699099.9606399992</v>
      </c>
      <c r="AU209" s="163">
        <f t="shared" si="526"/>
        <v>0.95349656970647578</v>
      </c>
      <c r="AV209" s="161">
        <f>AV207-AV208</f>
        <v>7043896.9727999987</v>
      </c>
      <c r="AW209" s="633">
        <f t="shared" si="527"/>
        <v>0.95227697053229876</v>
      </c>
      <c r="AX209" s="161">
        <f>AX207-AX208</f>
        <v>655202.98783999996</v>
      </c>
      <c r="AY209" s="633">
        <f>AX209/M209</f>
        <v>0.96680820135994217</v>
      </c>
      <c r="AZ209" s="161">
        <f t="shared" ref="AZ209:BD209" si="574">AZ207-AZ208</f>
        <v>375496.3997500001</v>
      </c>
      <c r="BA209" s="633">
        <f t="shared" si="479"/>
        <v>4.6503426495191846E-2</v>
      </c>
      <c r="BB209" s="161">
        <f t="shared" si="574"/>
        <v>353002.44908000017</v>
      </c>
      <c r="BC209" s="633">
        <f t="shared" si="480"/>
        <v>4.7723029467701059E-2</v>
      </c>
      <c r="BD209" s="161">
        <f t="shared" si="574"/>
        <v>22493.981339999998</v>
      </c>
      <c r="BE209" s="633">
        <f>BD209/S209</f>
        <v>3.3191798640057772E-2</v>
      </c>
      <c r="BF209" s="161">
        <f t="shared" ref="BF209:BP209" si="575">BF207-BF208</f>
        <v>7699100.3596799998</v>
      </c>
      <c r="BG209" s="633">
        <f t="shared" si="494"/>
        <v>1.000000051829435</v>
      </c>
      <c r="BH209" s="161">
        <f t="shared" si="575"/>
        <v>7043897.3718399992</v>
      </c>
      <c r="BI209" s="633">
        <f t="shared" si="495"/>
        <v>1.0000000566504597</v>
      </c>
      <c r="BJ209" s="161">
        <f t="shared" si="575"/>
        <v>655202.98783999996</v>
      </c>
      <c r="BK209" s="633">
        <v>0</v>
      </c>
      <c r="BL209" s="161">
        <f t="shared" si="575"/>
        <v>-0.3990400000475347</v>
      </c>
      <c r="BM209" s="633">
        <f t="shared" si="505"/>
        <v>-5.1829434880380992E-8</v>
      </c>
      <c r="BN209" s="161">
        <f t="shared" si="575"/>
        <v>-0.3990400000475347</v>
      </c>
      <c r="BO209" s="633">
        <f t="shared" si="497"/>
        <v>-5.66504594812257E-8</v>
      </c>
      <c r="BP209" s="161">
        <f t="shared" si="575"/>
        <v>0</v>
      </c>
      <c r="BQ209" s="633">
        <v>0</v>
      </c>
      <c r="BR209" s="161">
        <f t="shared" ref="BR209:BV209" si="576">BR207-BR208</f>
        <v>375496.03137999983</v>
      </c>
      <c r="BS209" s="163">
        <f t="shared" si="488"/>
        <v>4.6503380874335719E-2</v>
      </c>
      <c r="BT209" s="161">
        <f t="shared" si="576"/>
        <v>353002.05003999983</v>
      </c>
      <c r="BU209" s="163">
        <f t="shared" si="489"/>
        <v>4.7722975520773085E-2</v>
      </c>
      <c r="BV209" s="161">
        <f t="shared" si="576"/>
        <v>22493.981339999998</v>
      </c>
      <c r="BW209" s="163">
        <v>0</v>
      </c>
      <c r="BX209" s="160"/>
      <c r="BY209" s="265" t="e">
        <f>AD209/S209</f>
        <v>#REF!</v>
      </c>
      <c r="BZ209" s="161" t="e">
        <f t="shared" ref="BZ209:CE209" si="577">BZ207-BZ208</f>
        <v>#REF!</v>
      </c>
      <c r="CA209" s="161" t="e">
        <f t="shared" si="577"/>
        <v>#REF!</v>
      </c>
      <c r="CB209" s="161" t="e">
        <f t="shared" si="577"/>
        <v>#REF!</v>
      </c>
      <c r="CC209" s="161" t="e">
        <f t="shared" si="577"/>
        <v>#REF!</v>
      </c>
      <c r="CD209" s="161" t="e">
        <f t="shared" si="577"/>
        <v>#REF!</v>
      </c>
      <c r="CE209" s="161" t="e">
        <f t="shared" si="577"/>
        <v>#REF!</v>
      </c>
      <c r="CF209" s="161" t="s">
        <v>348</v>
      </c>
      <c r="CG209" s="166" t="str">
        <f>CG207</f>
        <v>268,2км</v>
      </c>
      <c r="CH209" s="161">
        <f t="shared" ref="CH209" si="578">CH207-CH208</f>
        <v>0</v>
      </c>
      <c r="CI209" s="578"/>
      <c r="CJ209" s="161">
        <f t="shared" ref="CJ209" si="579">CJ207-CJ208</f>
        <v>0</v>
      </c>
      <c r="CK209" s="579"/>
    </row>
    <row r="210" spans="2:91" s="747" customFormat="1" ht="29.25" customHeight="1">
      <c r="B210" s="1195" t="s">
        <v>350</v>
      </c>
      <c r="C210" s="1196"/>
      <c r="D210" s="740"/>
      <c r="E210" s="213">
        <f t="shared" ref="E210:T210" si="580">E104+E151</f>
        <v>905167</v>
      </c>
      <c r="F210" s="213">
        <f t="shared" si="580"/>
        <v>0</v>
      </c>
      <c r="G210" s="213">
        <f t="shared" si="580"/>
        <v>905167</v>
      </c>
      <c r="H210" s="213">
        <f t="shared" si="580"/>
        <v>-233272.33426</v>
      </c>
      <c r="I210" s="213">
        <f t="shared" si="580"/>
        <v>0</v>
      </c>
      <c r="J210" s="213">
        <f t="shared" si="580"/>
        <v>-233272.33426</v>
      </c>
      <c r="K210" s="214">
        <f t="shared" si="580"/>
        <v>671894.66573999997</v>
      </c>
      <c r="L210" s="214">
        <f t="shared" si="580"/>
        <v>0</v>
      </c>
      <c r="M210" s="214">
        <f t="shared" si="580"/>
        <v>671894.66573999997</v>
      </c>
      <c r="N210" s="214">
        <f t="shared" si="580"/>
        <v>0</v>
      </c>
      <c r="O210" s="214">
        <f t="shared" si="580"/>
        <v>0</v>
      </c>
      <c r="P210" s="214">
        <f t="shared" si="580"/>
        <v>0</v>
      </c>
      <c r="Q210" s="213">
        <f t="shared" si="580"/>
        <v>671894.66573999997</v>
      </c>
      <c r="R210" s="213">
        <f t="shared" si="580"/>
        <v>0</v>
      </c>
      <c r="S210" s="213">
        <f t="shared" si="580"/>
        <v>671894.66573999997</v>
      </c>
      <c r="T210" s="214">
        <f t="shared" si="580"/>
        <v>623852.90191000002</v>
      </c>
      <c r="U210" s="741">
        <f t="shared" si="509"/>
        <v>0.92849807227284875</v>
      </c>
      <c r="V210" s="214">
        <f>V104+V151</f>
        <v>0</v>
      </c>
      <c r="W210" s="741">
        <v>0</v>
      </c>
      <c r="X210" s="214">
        <f>X104+X151</f>
        <v>623852.90191000002</v>
      </c>
      <c r="Y210" s="741">
        <f t="shared" si="564"/>
        <v>0.92849807227284875</v>
      </c>
      <c r="Z210" s="214">
        <f>Z104+Z151</f>
        <v>48041.763829999996</v>
      </c>
      <c r="AA210" s="741">
        <f t="shared" si="511"/>
        <v>7.150192772715136E-2</v>
      </c>
      <c r="AB210" s="214">
        <f>AB104+AB151</f>
        <v>0</v>
      </c>
      <c r="AC210" s="741">
        <v>0</v>
      </c>
      <c r="AD210" s="214">
        <f t="shared" ref="AD210:AK210" si="581">AD104+AD151</f>
        <v>48041.763829999996</v>
      </c>
      <c r="AE210" s="214">
        <f t="shared" si="581"/>
        <v>0</v>
      </c>
      <c r="AF210" s="214">
        <f t="shared" si="581"/>
        <v>0</v>
      </c>
      <c r="AG210" s="214">
        <f t="shared" si="581"/>
        <v>0</v>
      </c>
      <c r="AH210" s="214">
        <f t="shared" si="581"/>
        <v>97178.389649999997</v>
      </c>
      <c r="AI210" s="214">
        <f t="shared" si="581"/>
        <v>0</v>
      </c>
      <c r="AJ210" s="214">
        <f t="shared" si="581"/>
        <v>97178.389649999997</v>
      </c>
      <c r="AK210" s="214">
        <f t="shared" si="581"/>
        <v>386970.17839999998</v>
      </c>
      <c r="AL210" s="742">
        <f t="shared" si="472"/>
        <v>3.9820600011352418</v>
      </c>
      <c r="AM210" s="743">
        <f>AK210/K210</f>
        <v>0.5759387566707429</v>
      </c>
      <c r="AN210" s="214">
        <f>AN104+AN151</f>
        <v>0</v>
      </c>
      <c r="AO210" s="742" t="e">
        <f t="shared" si="474"/>
        <v>#DIV/0!</v>
      </c>
      <c r="AP210" s="743">
        <v>0</v>
      </c>
      <c r="AQ210" s="214">
        <f>AQ104+AQ151</f>
        <v>386970.17839999998</v>
      </c>
      <c r="AR210" s="742">
        <f t="shared" si="475"/>
        <v>3.9820600011352418</v>
      </c>
      <c r="AS210" s="743">
        <f t="shared" si="573"/>
        <v>0.5759387566707429</v>
      </c>
      <c r="AT210" s="214">
        <f>AT104+AT151</f>
        <v>649400.68440000003</v>
      </c>
      <c r="AU210" s="743">
        <f t="shared" si="526"/>
        <v>0.96652156582427118</v>
      </c>
      <c r="AV210" s="214">
        <f>AV104+AV151</f>
        <v>0</v>
      </c>
      <c r="AW210" s="744">
        <v>0</v>
      </c>
      <c r="AX210" s="214">
        <f>AX104+AX151</f>
        <v>649400.68440000003</v>
      </c>
      <c r="AY210" s="744">
        <f>AX210/M210</f>
        <v>0.96652156582427118</v>
      </c>
      <c r="AZ210" s="214">
        <f>AZ104+AZ151</f>
        <v>22493.981339999998</v>
      </c>
      <c r="BA210" s="744">
        <f t="shared" si="479"/>
        <v>3.3478434175728954E-2</v>
      </c>
      <c r="BB210" s="214">
        <f>BB104+BB151</f>
        <v>0</v>
      </c>
      <c r="BC210" s="744">
        <v>0</v>
      </c>
      <c r="BD210" s="214">
        <f>BD104+BD151</f>
        <v>22493.981339999998</v>
      </c>
      <c r="BE210" s="744">
        <f>BD210/S210</f>
        <v>3.3478434175728954E-2</v>
      </c>
      <c r="BF210" s="214">
        <f t="shared" ref="BF210:BV210" si="582">BF104+BF151</f>
        <v>649400.68440000003</v>
      </c>
      <c r="BG210" s="744">
        <f t="shared" si="494"/>
        <v>1</v>
      </c>
      <c r="BH210" s="214">
        <f t="shared" si="582"/>
        <v>0</v>
      </c>
      <c r="BI210" s="744">
        <v>0</v>
      </c>
      <c r="BJ210" s="214">
        <f t="shared" si="582"/>
        <v>649400.68440000003</v>
      </c>
      <c r="BK210" s="744">
        <v>0</v>
      </c>
      <c r="BL210" s="214">
        <f t="shared" si="582"/>
        <v>0</v>
      </c>
      <c r="BM210" s="744">
        <f t="shared" si="505"/>
        <v>0</v>
      </c>
      <c r="BN210" s="214">
        <f t="shared" si="582"/>
        <v>0</v>
      </c>
      <c r="BO210" s="744">
        <v>0</v>
      </c>
      <c r="BP210" s="214">
        <f t="shared" si="582"/>
        <v>0</v>
      </c>
      <c r="BQ210" s="744">
        <v>0</v>
      </c>
      <c r="BR210" s="214">
        <f t="shared" si="582"/>
        <v>22493.981339999998</v>
      </c>
      <c r="BS210" s="743">
        <f t="shared" si="488"/>
        <v>3.3478434175728954E-2</v>
      </c>
      <c r="BT210" s="214">
        <f t="shared" si="582"/>
        <v>0</v>
      </c>
      <c r="BU210" s="743" t="e">
        <f t="shared" si="489"/>
        <v>#DIV/0!</v>
      </c>
      <c r="BV210" s="214">
        <f t="shared" si="582"/>
        <v>22493.981339999998</v>
      </c>
      <c r="BW210" s="743">
        <v>0</v>
      </c>
      <c r="BX210" s="213"/>
      <c r="BY210" s="678">
        <f>AD210/S210</f>
        <v>7.150192772715136E-2</v>
      </c>
      <c r="BZ210" s="214" t="e">
        <f t="shared" ref="BZ210:CE210" si="583">BZ104+BZ151</f>
        <v>#REF!</v>
      </c>
      <c r="CA210" s="214" t="e">
        <f t="shared" si="583"/>
        <v>#REF!</v>
      </c>
      <c r="CB210" s="214" t="e">
        <f t="shared" si="583"/>
        <v>#REF!</v>
      </c>
      <c r="CC210" s="214" t="e">
        <f t="shared" si="583"/>
        <v>#REF!</v>
      </c>
      <c r="CD210" s="214" t="e">
        <f t="shared" si="583"/>
        <v>#REF!</v>
      </c>
      <c r="CE210" s="214" t="e">
        <f t="shared" si="583"/>
        <v>#REF!</v>
      </c>
      <c r="CF210" s="214" t="s">
        <v>351</v>
      </c>
      <c r="CG210" s="629"/>
      <c r="CH210" s="214">
        <f>CH104+CH151</f>
        <v>0</v>
      </c>
      <c r="CI210" s="745"/>
      <c r="CJ210" s="214">
        <f>CJ104+CJ151</f>
        <v>0</v>
      </c>
      <c r="CK210" s="746"/>
    </row>
    <row r="211" spans="2:91" ht="69.75" hidden="1" customHeight="1">
      <c r="B211" s="1197"/>
      <c r="C211" s="1198"/>
      <c r="D211" s="748"/>
      <c r="E211" s="749"/>
      <c r="F211" s="749"/>
      <c r="G211" s="749"/>
      <c r="H211" s="749"/>
      <c r="I211" s="749"/>
      <c r="J211" s="749"/>
      <c r="K211" s="749"/>
      <c r="L211" s="749"/>
      <c r="M211" s="749"/>
      <c r="N211" s="749"/>
      <c r="O211" s="749"/>
      <c r="P211" s="749"/>
      <c r="Q211" s="749"/>
      <c r="R211" s="749"/>
      <c r="S211" s="749"/>
      <c r="T211" s="750"/>
      <c r="U211" s="751"/>
      <c r="V211" s="750"/>
      <c r="W211" s="750"/>
      <c r="X211" s="750"/>
      <c r="Y211" s="750"/>
      <c r="Z211" s="750"/>
      <c r="AA211" s="751"/>
      <c r="AB211" s="750"/>
      <c r="AC211" s="750"/>
      <c r="AD211" s="750"/>
      <c r="AE211" s="750"/>
      <c r="AF211" s="750"/>
      <c r="AG211" s="750"/>
      <c r="AH211" s="750"/>
      <c r="AI211" s="750"/>
      <c r="AJ211" s="750"/>
      <c r="AK211" s="750"/>
      <c r="AL211" s="752"/>
      <c r="AM211" s="753"/>
      <c r="AN211" s="750"/>
      <c r="AO211" s="753"/>
      <c r="AP211" s="753"/>
      <c r="AQ211" s="750"/>
      <c r="AR211" s="753"/>
      <c r="AS211" s="753"/>
      <c r="AT211" s="750"/>
      <c r="AU211" s="754"/>
      <c r="AV211" s="749"/>
      <c r="AW211" s="755"/>
      <c r="AX211" s="750"/>
      <c r="AY211" s="756"/>
      <c r="AZ211" s="750"/>
      <c r="BA211" s="750"/>
      <c r="BB211" s="750"/>
      <c r="BC211" s="750"/>
      <c r="BD211" s="750"/>
      <c r="BE211" s="750"/>
      <c r="BF211" s="750"/>
      <c r="BG211" s="750"/>
      <c r="BH211" s="750"/>
      <c r="BI211" s="750"/>
      <c r="BJ211" s="750"/>
      <c r="BK211" s="750"/>
      <c r="BL211" s="750"/>
      <c r="BM211" s="750"/>
      <c r="BN211" s="750"/>
      <c r="BO211" s="750"/>
      <c r="BP211" s="750"/>
      <c r="BQ211" s="750"/>
      <c r="BR211" s="750"/>
      <c r="BS211" s="750"/>
      <c r="BT211" s="750"/>
      <c r="BU211" s="750"/>
      <c r="BV211" s="750"/>
      <c r="BW211" s="750"/>
      <c r="BX211" s="749"/>
      <c r="BY211" s="750"/>
      <c r="BZ211" s="750"/>
      <c r="CA211" s="751"/>
      <c r="CB211" s="750"/>
      <c r="CC211" s="750"/>
      <c r="CD211" s="750"/>
      <c r="CE211" s="750"/>
      <c r="CF211" s="750"/>
      <c r="CG211" s="393"/>
      <c r="CH211" s="750"/>
      <c r="CI211" s="393"/>
      <c r="CJ211" s="750"/>
      <c r="CK211" s="394"/>
    </row>
    <row r="212" spans="2:91" ht="33" customHeight="1" thickBot="1">
      <c r="B212" s="1170" t="s">
        <v>352</v>
      </c>
      <c r="C212" s="1171"/>
      <c r="D212" s="1171"/>
      <c r="E212" s="1171"/>
      <c r="F212" s="1171"/>
      <c r="G212" s="1171"/>
      <c r="H212" s="1171"/>
      <c r="I212" s="1171"/>
      <c r="J212" s="1171"/>
      <c r="K212" s="1171"/>
      <c r="L212" s="1171"/>
      <c r="M212" s="1171"/>
      <c r="N212" s="1171"/>
      <c r="O212" s="1171"/>
      <c r="P212" s="1171"/>
      <c r="Q212" s="1171"/>
      <c r="R212" s="1171"/>
      <c r="S212" s="1171"/>
      <c r="T212" s="1171"/>
      <c r="U212" s="1171"/>
      <c r="V212" s="1171"/>
      <c r="W212" s="1171"/>
      <c r="X212" s="1171"/>
      <c r="Y212" s="1171"/>
      <c r="Z212" s="1171"/>
      <c r="AA212" s="1171"/>
      <c r="AB212" s="1171"/>
      <c r="AC212" s="1171"/>
      <c r="AD212" s="1171"/>
      <c r="AE212" s="1171"/>
      <c r="AF212" s="1171"/>
      <c r="AG212" s="1171"/>
      <c r="AH212" s="1171"/>
      <c r="AI212" s="1171"/>
      <c r="AJ212" s="1171"/>
      <c r="AK212" s="1171"/>
      <c r="AL212" s="1171"/>
      <c r="AM212" s="1171"/>
      <c r="AN212" s="1171"/>
      <c r="AO212" s="1171"/>
      <c r="AP212" s="1171"/>
      <c r="AQ212" s="1171"/>
      <c r="AR212" s="1171"/>
      <c r="AS212" s="1171"/>
      <c r="AT212" s="1171"/>
      <c r="AU212" s="1171"/>
      <c r="AV212" s="1171"/>
      <c r="AW212" s="1171"/>
      <c r="AX212" s="1171"/>
      <c r="AY212" s="1171"/>
      <c r="AZ212" s="1171"/>
      <c r="BA212" s="1171"/>
      <c r="BB212" s="1171"/>
      <c r="BC212" s="1171"/>
      <c r="BD212" s="1171"/>
      <c r="BE212" s="1171"/>
      <c r="BF212" s="1171"/>
      <c r="BG212" s="1171"/>
      <c r="BH212" s="1171"/>
      <c r="BI212" s="1171"/>
      <c r="BJ212" s="1171"/>
      <c r="BK212" s="1171"/>
      <c r="BL212" s="1171"/>
      <c r="BM212" s="1171"/>
      <c r="BN212" s="1171"/>
      <c r="BO212" s="1171"/>
      <c r="BP212" s="1171"/>
      <c r="BQ212" s="1171"/>
      <c r="BR212" s="1171"/>
      <c r="BS212" s="1171"/>
      <c r="BT212" s="1171"/>
      <c r="BU212" s="1171"/>
      <c r="BV212" s="1171"/>
      <c r="BW212" s="1171"/>
      <c r="BX212" s="1171"/>
      <c r="BY212" s="1171"/>
      <c r="BZ212" s="1171"/>
      <c r="CA212" s="1171"/>
      <c r="CB212" s="1171"/>
      <c r="CC212" s="1171"/>
      <c r="CD212" s="1171"/>
      <c r="CE212" s="1171"/>
      <c r="CF212" s="1171"/>
      <c r="CG212" s="1171"/>
      <c r="CH212" s="1171"/>
      <c r="CI212" s="1171"/>
      <c r="CJ212" s="1171"/>
      <c r="CK212" s="1172"/>
    </row>
    <row r="213" spans="2:91" s="698" customFormat="1" ht="81.75" customHeight="1" thickBot="1">
      <c r="B213" s="757" t="s">
        <v>353</v>
      </c>
      <c r="C213" s="690" t="s">
        <v>354</v>
      </c>
      <c r="D213" s="691" t="s">
        <v>355</v>
      </c>
      <c r="E213" s="563" t="e">
        <f>E217</f>
        <v>#REF!</v>
      </c>
      <c r="F213" s="563"/>
      <c r="G213" s="563" t="e">
        <f>G217</f>
        <v>#REF!</v>
      </c>
      <c r="H213" s="563" t="e">
        <f>H217</f>
        <v>#REF!</v>
      </c>
      <c r="I213" s="563"/>
      <c r="J213" s="563" t="e">
        <f>J217</f>
        <v>#REF!</v>
      </c>
      <c r="K213" s="519">
        <f>M213</f>
        <v>210723.753</v>
      </c>
      <c r="L213" s="519"/>
      <c r="M213" s="519">
        <f>M214</f>
        <v>210723.753</v>
      </c>
      <c r="N213" s="519">
        <f t="shared" ref="N213:Q213" si="584">N214</f>
        <v>0</v>
      </c>
      <c r="O213" s="519">
        <f t="shared" si="584"/>
        <v>0</v>
      </c>
      <c r="P213" s="519">
        <f t="shared" si="584"/>
        <v>0</v>
      </c>
      <c r="Q213" s="564">
        <f t="shared" si="584"/>
        <v>210723.753</v>
      </c>
      <c r="R213" s="758"/>
      <c r="S213" s="564">
        <f>S214</f>
        <v>210723.753</v>
      </c>
      <c r="T213" s="519">
        <f>T214</f>
        <v>127756.26943999999</v>
      </c>
      <c r="U213" s="565">
        <f t="shared" ref="U213:U241" si="585">T213/Q213</f>
        <v>0.60627370014618143</v>
      </c>
      <c r="V213" s="519">
        <v>0</v>
      </c>
      <c r="W213" s="759">
        <v>0</v>
      </c>
      <c r="X213" s="519">
        <f>X214</f>
        <v>127756.26943999999</v>
      </c>
      <c r="Y213" s="565">
        <f t="shared" ref="Y213:Y241" si="586">X213/S213</f>
        <v>0.60627370014618143</v>
      </c>
      <c r="Z213" s="519">
        <f>Z214</f>
        <v>82967.483560000022</v>
      </c>
      <c r="AA213" s="565">
        <f t="shared" ref="AA213:AA241" si="587">Z213/Q213</f>
        <v>0.39372629985381868</v>
      </c>
      <c r="AB213" s="519">
        <v>0</v>
      </c>
      <c r="AC213" s="565">
        <v>0</v>
      </c>
      <c r="AD213" s="519">
        <f>AD214</f>
        <v>82967.483560000022</v>
      </c>
      <c r="AE213" s="519" t="e">
        <f>AE217</f>
        <v>#REF!</v>
      </c>
      <c r="AF213" s="519"/>
      <c r="AG213" s="519" t="e">
        <f>AG217</f>
        <v>#REF!</v>
      </c>
      <c r="AH213" s="519" t="e">
        <f>AH217</f>
        <v>#REF!</v>
      </c>
      <c r="AI213" s="519"/>
      <c r="AJ213" s="519" t="e">
        <f>AJ217</f>
        <v>#REF!</v>
      </c>
      <c r="AK213" s="519">
        <f t="shared" ref="AK213:AK218" si="588">AN213+AQ213</f>
        <v>128784.57901</v>
      </c>
      <c r="AL213" s="565">
        <v>0</v>
      </c>
      <c r="AM213" s="149">
        <f>AK213/Q213</f>
        <v>0.61115359410858638</v>
      </c>
      <c r="AN213" s="564">
        <v>0</v>
      </c>
      <c r="AO213" s="565" t="e">
        <f>AN213/AI213</f>
        <v>#DIV/0!</v>
      </c>
      <c r="AP213" s="149">
        <v>0</v>
      </c>
      <c r="AQ213" s="519">
        <f>AQ217</f>
        <v>128784.57901</v>
      </c>
      <c r="AR213" s="565" t="e">
        <f>AQ213/AJ213</f>
        <v>#REF!</v>
      </c>
      <c r="AS213" s="149">
        <f>AQ213/S213</f>
        <v>0.61115359410858638</v>
      </c>
      <c r="AT213" s="519">
        <f>AV213+AX213</f>
        <v>128784.57901</v>
      </c>
      <c r="AU213" s="566">
        <f t="shared" ref="AU213:AU218" si="589">AT213/K213</f>
        <v>0.61115359410858638</v>
      </c>
      <c r="AV213" s="519">
        <v>0</v>
      </c>
      <c r="AW213" s="151">
        <v>0</v>
      </c>
      <c r="AX213" s="75">
        <f>AX214</f>
        <v>128784.57901</v>
      </c>
      <c r="AY213" s="151">
        <f>AX213/M213</f>
        <v>0.61115359410858638</v>
      </c>
      <c r="AZ213" s="519">
        <f>AZ214</f>
        <v>81939.173989999996</v>
      </c>
      <c r="BA213" s="151">
        <f t="shared" ref="BA213:BA241" si="590">AZ213/K213</f>
        <v>0.38884640589141367</v>
      </c>
      <c r="BB213" s="519">
        <v>0</v>
      </c>
      <c r="BC213" s="151">
        <v>0</v>
      </c>
      <c r="BD213" s="519">
        <f>BD214</f>
        <v>81939.173989999996</v>
      </c>
      <c r="BE213" s="151">
        <f t="shared" ref="BE213:BE241" si="591">BD213/M213</f>
        <v>0.38884640589141367</v>
      </c>
      <c r="BF213" s="760">
        <f>BF217</f>
        <v>128784.57901</v>
      </c>
      <c r="BG213" s="151">
        <f>BF213/AT213</f>
        <v>1</v>
      </c>
      <c r="BH213" s="761">
        <v>0</v>
      </c>
      <c r="BI213" s="151">
        <v>0</v>
      </c>
      <c r="BJ213" s="761">
        <f>BJ214</f>
        <v>128784.57901</v>
      </c>
      <c r="BK213" s="151">
        <f>BJ213/AX213</f>
        <v>1</v>
      </c>
      <c r="BL213" s="760">
        <f>BL217</f>
        <v>-9.0949470177292824E-13</v>
      </c>
      <c r="BM213" s="143">
        <f>BL213/AT213</f>
        <v>-7.0621398055919946E-18</v>
      </c>
      <c r="BN213" s="761">
        <v>0</v>
      </c>
      <c r="BO213" s="762">
        <v>0</v>
      </c>
      <c r="BP213" s="761">
        <f>BP214</f>
        <v>-9.0949470177292824E-13</v>
      </c>
      <c r="BQ213" s="143">
        <f>BP213/AX213</f>
        <v>-7.0621398055919946E-18</v>
      </c>
      <c r="BR213" s="760">
        <f>BT213+BV213</f>
        <v>81939.17399000001</v>
      </c>
      <c r="BS213" s="142">
        <f>BR213/K213</f>
        <v>0.38884640589141373</v>
      </c>
      <c r="BT213" s="761">
        <v>0</v>
      </c>
      <c r="BU213" s="142">
        <v>0</v>
      </c>
      <c r="BV213" s="761">
        <f>BV214</f>
        <v>81939.17399000001</v>
      </c>
      <c r="BW213" s="142">
        <f>BV213/M213</f>
        <v>0.38884640589141373</v>
      </c>
      <c r="BX213" s="474"/>
      <c r="BY213" s="82">
        <f t="shared" ref="BY213:BY224" si="592">AD213/S213</f>
        <v>0.39372629985381868</v>
      </c>
      <c r="BZ213" s="84" t="e">
        <f>BZ217</f>
        <v>#REF!</v>
      </c>
      <c r="CA213" s="695" t="e">
        <f>SUM(BZ213/BT213)</f>
        <v>#REF!</v>
      </c>
      <c r="CB213" s="84"/>
      <c r="CC213" s="695"/>
      <c r="CD213" s="84" t="e">
        <f>CD217</f>
        <v>#REF!</v>
      </c>
      <c r="CE213" s="695" t="e">
        <f>SUM(CD213/#REF!)</f>
        <v>#REF!</v>
      </c>
      <c r="CF213" s="84" t="s">
        <v>356</v>
      </c>
      <c r="CG213" s="84" t="s">
        <v>356</v>
      </c>
      <c r="CH213" s="84">
        <f>CH217</f>
        <v>0</v>
      </c>
      <c r="CI213" s="763"/>
      <c r="CJ213" s="84">
        <f>CJ217</f>
        <v>0</v>
      </c>
      <c r="CK213" s="764"/>
    </row>
    <row r="214" spans="2:91" s="3" customFormat="1" ht="105" customHeight="1">
      <c r="B214" s="765" t="s">
        <v>47</v>
      </c>
      <c r="C214" s="766" t="s">
        <v>357</v>
      </c>
      <c r="D214" s="767"/>
      <c r="E214" s="768"/>
      <c r="F214" s="768"/>
      <c r="G214" s="768"/>
      <c r="H214" s="768"/>
      <c r="I214" s="768"/>
      <c r="J214" s="768"/>
      <c r="K214" s="496">
        <f>M214</f>
        <v>210723.753</v>
      </c>
      <c r="L214" s="496"/>
      <c r="M214" s="496">
        <f>M215+M216</f>
        <v>210723.753</v>
      </c>
      <c r="N214" s="496">
        <f t="shared" ref="N214:P214" si="593">N215+N216</f>
        <v>0</v>
      </c>
      <c r="O214" s="496">
        <f t="shared" si="593"/>
        <v>0</v>
      </c>
      <c r="P214" s="496">
        <f t="shared" si="593"/>
        <v>0</v>
      </c>
      <c r="Q214" s="768">
        <f>S214</f>
        <v>210723.753</v>
      </c>
      <c r="R214" s="768"/>
      <c r="S214" s="768">
        <f>S215+S216</f>
        <v>210723.753</v>
      </c>
      <c r="T214" s="496">
        <f>V214+X214</f>
        <v>127756.26943999999</v>
      </c>
      <c r="U214" s="497">
        <f t="shared" si="585"/>
        <v>0.60627370014618143</v>
      </c>
      <c r="V214" s="496">
        <v>0</v>
      </c>
      <c r="W214" s="367">
        <v>0</v>
      </c>
      <c r="X214" s="496">
        <f>X215+X216</f>
        <v>127756.26943999999</v>
      </c>
      <c r="Y214" s="497">
        <f t="shared" si="586"/>
        <v>0.60627370014618143</v>
      </c>
      <c r="Z214" s="496">
        <f>AB214+AD214</f>
        <v>82967.483560000022</v>
      </c>
      <c r="AA214" s="497">
        <f t="shared" si="587"/>
        <v>0.39372629985381868</v>
      </c>
      <c r="AB214" s="496">
        <v>0</v>
      </c>
      <c r="AC214" s="497">
        <v>0</v>
      </c>
      <c r="AD214" s="496">
        <f>AD215+AD216</f>
        <v>82967.483560000022</v>
      </c>
      <c r="AE214" s="496"/>
      <c r="AF214" s="496"/>
      <c r="AG214" s="496"/>
      <c r="AH214" s="496"/>
      <c r="AI214" s="496"/>
      <c r="AJ214" s="496"/>
      <c r="AK214" s="496">
        <f t="shared" si="588"/>
        <v>128784.57901</v>
      </c>
      <c r="AL214" s="369"/>
      <c r="AM214" s="368">
        <f>AK214/Q214</f>
        <v>0.61115359410858638</v>
      </c>
      <c r="AN214" s="768">
        <v>0</v>
      </c>
      <c r="AO214" s="369"/>
      <c r="AP214" s="368">
        <f t="shared" ref="AP214:AP235" si="594">AN214/T214</f>
        <v>0</v>
      </c>
      <c r="AQ214" s="496">
        <f>AQ215+AQ216</f>
        <v>128784.57901</v>
      </c>
      <c r="AR214" s="369"/>
      <c r="AS214" s="368">
        <f>AQ214/S214</f>
        <v>0.61115359410858638</v>
      </c>
      <c r="AT214" s="496">
        <f>AV214+AX214</f>
        <v>128784.57901</v>
      </c>
      <c r="AU214" s="769">
        <f t="shared" si="589"/>
        <v>0.61115359410858638</v>
      </c>
      <c r="AV214" s="376">
        <v>0</v>
      </c>
      <c r="AW214" s="373">
        <v>0</v>
      </c>
      <c r="AX214" s="486">
        <f>AX215+AX216</f>
        <v>128784.57901</v>
      </c>
      <c r="AY214" s="373">
        <f>AX214/S214</f>
        <v>0.61115359410858638</v>
      </c>
      <c r="AZ214" s="486">
        <f>BD214+BH214</f>
        <v>81939.173989999996</v>
      </c>
      <c r="BA214" s="375">
        <f t="shared" si="590"/>
        <v>0.38884640589141367</v>
      </c>
      <c r="BB214" s="378">
        <v>0</v>
      </c>
      <c r="BC214" s="375">
        <v>0</v>
      </c>
      <c r="BD214" s="486">
        <f>BD215+BD216</f>
        <v>81939.173989999996</v>
      </c>
      <c r="BE214" s="375">
        <f t="shared" si="591"/>
        <v>0.38884640589141367</v>
      </c>
      <c r="BF214" s="486">
        <f>BJ214+BN214</f>
        <v>128784.57901</v>
      </c>
      <c r="BG214" s="373">
        <f>BF214/AT214</f>
        <v>1</v>
      </c>
      <c r="BH214" s="376">
        <v>0</v>
      </c>
      <c r="BI214" s="373">
        <v>0</v>
      </c>
      <c r="BJ214" s="486">
        <f>BJ215+BJ216</f>
        <v>128784.57901</v>
      </c>
      <c r="BK214" s="373">
        <f>BJ214/AX214</f>
        <v>1</v>
      </c>
      <c r="BL214" s="486">
        <f>BN214+BP214</f>
        <v>-9.0949470177292824E-13</v>
      </c>
      <c r="BM214" s="373">
        <f t="shared" ref="BM214:BM241" si="595">BL214/AT214</f>
        <v>-7.0621398055919946E-18</v>
      </c>
      <c r="BN214" s="376">
        <v>0</v>
      </c>
      <c r="BO214" s="770">
        <v>0</v>
      </c>
      <c r="BP214" s="486">
        <f>BP215+BP216</f>
        <v>-9.0949470177292824E-13</v>
      </c>
      <c r="BQ214" s="373">
        <f t="shared" ref="BQ214:BQ241" si="596">BP214/AX214</f>
        <v>-7.0621398055919946E-18</v>
      </c>
      <c r="BR214" s="486">
        <f>BV214</f>
        <v>81939.17399000001</v>
      </c>
      <c r="BS214" s="533">
        <f>BR214/K214</f>
        <v>0.38884640589141373</v>
      </c>
      <c r="BT214" s="376">
        <v>0</v>
      </c>
      <c r="BU214" s="533">
        <v>0</v>
      </c>
      <c r="BV214" s="486">
        <f>BV215+BV216</f>
        <v>81939.17399000001</v>
      </c>
      <c r="BW214" s="533">
        <f t="shared" ref="BW214:BW241" si="597">BV214/M214</f>
        <v>0.38884640589141373</v>
      </c>
      <c r="BX214" s="771"/>
      <c r="BY214" s="271">
        <f t="shared" si="592"/>
        <v>0.39372629985381868</v>
      </c>
      <c r="BZ214" s="176"/>
      <c r="CA214" s="631"/>
      <c r="CB214" s="176"/>
      <c r="CC214" s="631"/>
      <c r="CD214" s="176"/>
      <c r="CE214" s="631"/>
      <c r="CF214" s="176" t="s">
        <v>356</v>
      </c>
      <c r="CG214" s="176" t="s">
        <v>356</v>
      </c>
      <c r="CH214" s="176"/>
      <c r="CI214" s="772"/>
      <c r="CJ214" s="176"/>
      <c r="CK214" s="773"/>
    </row>
    <row r="215" spans="2:91" s="682" customFormat="1" ht="33" customHeight="1">
      <c r="B215" s="774" t="s">
        <v>358</v>
      </c>
      <c r="C215" s="775" t="s">
        <v>286</v>
      </c>
      <c r="D215" s="776"/>
      <c r="E215" s="777"/>
      <c r="F215" s="777"/>
      <c r="G215" s="777"/>
      <c r="H215" s="777"/>
      <c r="I215" s="777"/>
      <c r="J215" s="777"/>
      <c r="K215" s="778">
        <f>K220+K222+K224+K228+K231+K234+K238+K241</f>
        <v>184710.478</v>
      </c>
      <c r="L215" s="778"/>
      <c r="M215" s="778">
        <f>M220+M222+M224+M228+M231+M234+M238+M241</f>
        <v>184710.478</v>
      </c>
      <c r="N215" s="778">
        <f t="shared" ref="N215:S215" si="598">N220+N222+N224+N228+N231+N234+N238+N241</f>
        <v>0</v>
      </c>
      <c r="O215" s="778">
        <f t="shared" si="598"/>
        <v>0</v>
      </c>
      <c r="P215" s="778">
        <f t="shared" si="598"/>
        <v>0</v>
      </c>
      <c r="Q215" s="777">
        <f t="shared" si="598"/>
        <v>184710.478</v>
      </c>
      <c r="R215" s="777">
        <f t="shared" si="598"/>
        <v>0</v>
      </c>
      <c r="S215" s="777">
        <f t="shared" si="598"/>
        <v>184710.478</v>
      </c>
      <c r="T215" s="778">
        <f t="shared" ref="T215:T216" si="599">V215+X215</f>
        <v>105368.22617999998</v>
      </c>
      <c r="U215" s="779">
        <f t="shared" si="585"/>
        <v>0.57045072548618481</v>
      </c>
      <c r="V215" s="778">
        <v>0</v>
      </c>
      <c r="W215" s="780">
        <v>0</v>
      </c>
      <c r="X215" s="778">
        <f>X220+X224+X228+X231+X234+X238+X241+X222</f>
        <v>105368.22617999998</v>
      </c>
      <c r="Y215" s="779">
        <f t="shared" si="586"/>
        <v>0.57045072548618481</v>
      </c>
      <c r="Z215" s="778">
        <f>AB215+AD215</f>
        <v>79342.25182000002</v>
      </c>
      <c r="AA215" s="779">
        <f t="shared" si="587"/>
        <v>0.42954927451381519</v>
      </c>
      <c r="AB215" s="778">
        <v>0</v>
      </c>
      <c r="AC215" s="779">
        <v>0</v>
      </c>
      <c r="AD215" s="778">
        <f>S215-X215</f>
        <v>79342.25182000002</v>
      </c>
      <c r="AE215" s="778"/>
      <c r="AF215" s="778"/>
      <c r="AG215" s="778"/>
      <c r="AH215" s="778"/>
      <c r="AI215" s="778"/>
      <c r="AJ215" s="778"/>
      <c r="AK215" s="778">
        <f t="shared" si="588"/>
        <v>121652.85941</v>
      </c>
      <c r="AL215" s="779"/>
      <c r="AM215" s="781">
        <f t="shared" ref="AM215:AM241" si="600">AK215/Q215</f>
        <v>0.65861374366645298</v>
      </c>
      <c r="AN215" s="777">
        <v>0</v>
      </c>
      <c r="AO215" s="779"/>
      <c r="AP215" s="781">
        <f t="shared" si="594"/>
        <v>0</v>
      </c>
      <c r="AQ215" s="778">
        <f>AQ220+AQ222+AQ224+AQ228+AQ231+AQ234+AQ238+AQ241</f>
        <v>121652.85941</v>
      </c>
      <c r="AR215" s="779"/>
      <c r="AS215" s="781">
        <f>AQ215/S215</f>
        <v>0.65861374366645298</v>
      </c>
      <c r="AT215" s="778">
        <f>AT220+AT222+AT224+AT228+AT231+AT234+AT238+AT241</f>
        <v>121652.85941</v>
      </c>
      <c r="AU215" s="782">
        <f t="shared" si="589"/>
        <v>0.65861374366645298</v>
      </c>
      <c r="AV215" s="783">
        <v>0</v>
      </c>
      <c r="AW215" s="784">
        <v>0</v>
      </c>
      <c r="AX215" s="214">
        <f>AX220+AX222+AX224+AX228+AX231+AX234+AX238+AX241</f>
        <v>121652.85941</v>
      </c>
      <c r="AY215" s="785">
        <f>AX215/S215</f>
        <v>0.65861374366645298</v>
      </c>
      <c r="AZ215" s="214">
        <f>BD215+BH215</f>
        <v>63057.618589999998</v>
      </c>
      <c r="BA215" s="784">
        <f t="shared" si="590"/>
        <v>0.34138625633354702</v>
      </c>
      <c r="BB215" s="629">
        <v>0</v>
      </c>
      <c r="BC215" s="784">
        <v>0</v>
      </c>
      <c r="BD215" s="214">
        <f>BD220+BD224+BD228+BD231+BD234+BD238+BD241+BD222</f>
        <v>63057.618589999998</v>
      </c>
      <c r="BE215" s="784">
        <f t="shared" si="591"/>
        <v>0.34138625633354702</v>
      </c>
      <c r="BF215" s="214">
        <f>BF220+BF222+BF224+BF228+BF231+BF234+BF238+BF241</f>
        <v>121652.8594</v>
      </c>
      <c r="BG215" s="785">
        <f t="shared" ref="BG215:BG241" si="601">BF215/AT215</f>
        <v>0.99999999991779887</v>
      </c>
      <c r="BH215" s="783">
        <v>0</v>
      </c>
      <c r="BI215" s="373">
        <v>0</v>
      </c>
      <c r="BJ215" s="214">
        <f>BJ220+BJ222+BJ224+BJ228+BJ231+BJ234+BJ238+BJ241</f>
        <v>121652.8594</v>
      </c>
      <c r="BK215" s="785">
        <f t="shared" ref="BK215:BK241" si="602">BJ215/AX215</f>
        <v>0.99999999991779887</v>
      </c>
      <c r="BL215" s="214">
        <f>BL220+BL222+BL224+BL228+BL231+BL234+BL238+BL241</f>
        <v>9.9999997473787516E-6</v>
      </c>
      <c r="BM215" s="785">
        <f t="shared" si="595"/>
        <v>8.2201107280810367E-11</v>
      </c>
      <c r="BN215" s="783">
        <v>0</v>
      </c>
      <c r="BO215" s="786">
        <v>0</v>
      </c>
      <c r="BP215" s="214">
        <f>BP220+BP222+BP224+BP228+BP231+BP234+BP238+BP241</f>
        <v>9.9999997473787516E-6</v>
      </c>
      <c r="BQ215" s="785">
        <f t="shared" si="596"/>
        <v>8.2201107280810367E-11</v>
      </c>
      <c r="BR215" s="214">
        <f>BT215+BV215</f>
        <v>63057.618600000002</v>
      </c>
      <c r="BS215" s="787">
        <f t="shared" ref="BS215:BS241" si="603">BR215/K215</f>
        <v>0.34138625638768583</v>
      </c>
      <c r="BT215" s="783">
        <v>0</v>
      </c>
      <c r="BU215" s="533">
        <v>0</v>
      </c>
      <c r="BV215" s="214">
        <f>BV220+BV222+BV224+BV228+BV231+BV234+BV238+BV241</f>
        <v>63057.618600000002</v>
      </c>
      <c r="BW215" s="787">
        <f t="shared" si="597"/>
        <v>0.34138625638768583</v>
      </c>
      <c r="BX215" s="788"/>
      <c r="BY215" s="678">
        <f t="shared" si="592"/>
        <v>0.42954927451381519</v>
      </c>
      <c r="BZ215" s="214"/>
      <c r="CA215" s="679"/>
      <c r="CB215" s="214"/>
      <c r="CC215" s="679"/>
      <c r="CD215" s="214"/>
      <c r="CE215" s="679"/>
      <c r="CF215" s="214"/>
      <c r="CG215" s="789"/>
      <c r="CH215" s="214"/>
      <c r="CI215" s="789"/>
      <c r="CJ215" s="214"/>
      <c r="CK215" s="790"/>
    </row>
    <row r="216" spans="2:91" s="682" customFormat="1" ht="39" customHeight="1">
      <c r="B216" s="774" t="s">
        <v>359</v>
      </c>
      <c r="C216" s="775" t="s">
        <v>201</v>
      </c>
      <c r="D216" s="776"/>
      <c r="E216" s="777"/>
      <c r="F216" s="777"/>
      <c r="G216" s="777"/>
      <c r="H216" s="777"/>
      <c r="I216" s="777"/>
      <c r="J216" s="777"/>
      <c r="K216" s="778">
        <f>K229+K232+K235+K239</f>
        <v>26013.275000000001</v>
      </c>
      <c r="L216" s="778"/>
      <c r="M216" s="778">
        <f>M229+M232+M235+M239</f>
        <v>26013.275000000001</v>
      </c>
      <c r="N216" s="778">
        <f t="shared" ref="N216:P216" si="604">N229+N232+N235+N239</f>
        <v>0</v>
      </c>
      <c r="O216" s="778">
        <f t="shared" si="604"/>
        <v>0</v>
      </c>
      <c r="P216" s="778">
        <f t="shared" si="604"/>
        <v>0</v>
      </c>
      <c r="Q216" s="777">
        <f>Q229+Q232+Q235+Q239</f>
        <v>26013.275000000001</v>
      </c>
      <c r="R216" s="777"/>
      <c r="S216" s="777">
        <f>M216</f>
        <v>26013.275000000001</v>
      </c>
      <c r="T216" s="778">
        <f t="shared" si="599"/>
        <v>22388.043260000002</v>
      </c>
      <c r="U216" s="779">
        <f t="shared" si="585"/>
        <v>0.86063916442662447</v>
      </c>
      <c r="V216" s="778">
        <v>0</v>
      </c>
      <c r="W216" s="780">
        <v>0</v>
      </c>
      <c r="X216" s="778">
        <f>X229+X232+X239+X235</f>
        <v>22388.043260000002</v>
      </c>
      <c r="Y216" s="779">
        <f t="shared" si="586"/>
        <v>0.86063916442662447</v>
      </c>
      <c r="Z216" s="778">
        <f>AB216+AD216</f>
        <v>3625.2317399999993</v>
      </c>
      <c r="AA216" s="779">
        <f t="shared" si="587"/>
        <v>0.13936083557337547</v>
      </c>
      <c r="AB216" s="778">
        <v>0</v>
      </c>
      <c r="AC216" s="779">
        <v>0</v>
      </c>
      <c r="AD216" s="778">
        <f>S216-X216</f>
        <v>3625.2317399999993</v>
      </c>
      <c r="AE216" s="778"/>
      <c r="AF216" s="778"/>
      <c r="AG216" s="778"/>
      <c r="AH216" s="778"/>
      <c r="AI216" s="778"/>
      <c r="AJ216" s="778"/>
      <c r="AK216" s="778">
        <f t="shared" si="588"/>
        <v>7131.7196000000004</v>
      </c>
      <c r="AL216" s="779"/>
      <c r="AM216" s="781">
        <v>0</v>
      </c>
      <c r="AN216" s="777">
        <v>0</v>
      </c>
      <c r="AO216" s="779"/>
      <c r="AP216" s="781">
        <f t="shared" si="594"/>
        <v>0</v>
      </c>
      <c r="AQ216" s="778">
        <f>AQ229+AQ232+AQ235+AQ239</f>
        <v>7131.7196000000004</v>
      </c>
      <c r="AR216" s="779"/>
      <c r="AS216" s="781">
        <v>0</v>
      </c>
      <c r="AT216" s="778">
        <f>AT229+AT232+AT235+AT239</f>
        <v>7131.7196000000004</v>
      </c>
      <c r="AU216" s="782">
        <f t="shared" si="589"/>
        <v>0.27415692949080805</v>
      </c>
      <c r="AV216" s="783">
        <v>0</v>
      </c>
      <c r="AW216" s="784">
        <v>0</v>
      </c>
      <c r="AX216" s="214">
        <f>AX229+AX232+AX235+AX239</f>
        <v>7131.7196000000004</v>
      </c>
      <c r="AY216" s="785">
        <f>AX216/S216</f>
        <v>0.27415692949080805</v>
      </c>
      <c r="AZ216" s="214">
        <f>BD216+BH216</f>
        <v>18881.555400000001</v>
      </c>
      <c r="BA216" s="784">
        <f t="shared" si="590"/>
        <v>0.72584307050919195</v>
      </c>
      <c r="BB216" s="629">
        <v>0</v>
      </c>
      <c r="BC216" s="784">
        <v>0</v>
      </c>
      <c r="BD216" s="214">
        <f>BD229+BD232+BD239+BD235</f>
        <v>18881.555400000001</v>
      </c>
      <c r="BE216" s="784">
        <f t="shared" si="591"/>
        <v>0.72584307050919195</v>
      </c>
      <c r="BF216" s="214">
        <f>BF229+BF232+BF235+BF239</f>
        <v>7131.7196100000001</v>
      </c>
      <c r="BG216" s="785">
        <f t="shared" si="601"/>
        <v>1.0000000014021864</v>
      </c>
      <c r="BH216" s="783">
        <v>0</v>
      </c>
      <c r="BI216" s="373">
        <v>0</v>
      </c>
      <c r="BJ216" s="214">
        <f>BJ229+BJ232+BJ235+BJ239</f>
        <v>7131.7196100000001</v>
      </c>
      <c r="BK216" s="785">
        <f t="shared" si="602"/>
        <v>1.0000000014021864</v>
      </c>
      <c r="BL216" s="214">
        <f>BL229+BL232+BL235+BL239</f>
        <v>-1.0000000656873453E-5</v>
      </c>
      <c r="BM216" s="785">
        <f t="shared" si="595"/>
        <v>-1.402186459612553E-9</v>
      </c>
      <c r="BN216" s="783">
        <v>0</v>
      </c>
      <c r="BO216" s="786">
        <v>0</v>
      </c>
      <c r="BP216" s="214">
        <f>BP229+BP232+BP235+BP239</f>
        <v>-1.0000000656873453E-5</v>
      </c>
      <c r="BQ216" s="785">
        <f t="shared" si="596"/>
        <v>-1.402186459612553E-9</v>
      </c>
      <c r="BR216" s="214">
        <f>BR229+BR232+BR235+BR239</f>
        <v>18853.248650000001</v>
      </c>
      <c r="BS216" s="787">
        <f t="shared" si="603"/>
        <v>0.72475490494757</v>
      </c>
      <c r="BT216" s="783">
        <v>0</v>
      </c>
      <c r="BU216" s="533">
        <v>0</v>
      </c>
      <c r="BV216" s="214">
        <f>BV229+BV232+BV235+BV239</f>
        <v>18881.555390000001</v>
      </c>
      <c r="BW216" s="787">
        <f t="shared" si="597"/>
        <v>0.72584307012477289</v>
      </c>
      <c r="BX216" s="788"/>
      <c r="BY216" s="678">
        <f t="shared" si="592"/>
        <v>0.13936083557337547</v>
      </c>
      <c r="BZ216" s="214"/>
      <c r="CA216" s="679"/>
      <c r="CB216" s="214"/>
      <c r="CC216" s="679"/>
      <c r="CD216" s="214"/>
      <c r="CE216" s="679"/>
      <c r="CF216" s="214"/>
      <c r="CG216" s="789"/>
      <c r="CH216" s="214"/>
      <c r="CI216" s="789"/>
      <c r="CJ216" s="214"/>
      <c r="CK216" s="790"/>
    </row>
    <row r="217" spans="2:91" s="3" customFormat="1" ht="30" hidden="1" customHeight="1">
      <c r="B217" s="1181" t="s">
        <v>360</v>
      </c>
      <c r="C217" s="1182"/>
      <c r="D217" s="791" t="s">
        <v>355</v>
      </c>
      <c r="E217" s="249" t="e">
        <f>G217</f>
        <v>#REF!</v>
      </c>
      <c r="F217" s="249"/>
      <c r="G217" s="249" t="e">
        <f>#REF!+#REF!</f>
        <v>#REF!</v>
      </c>
      <c r="H217" s="249" t="e">
        <f>J217</f>
        <v>#REF!</v>
      </c>
      <c r="I217" s="249"/>
      <c r="J217" s="249" t="e">
        <f>#REF!+#REF!</f>
        <v>#REF!</v>
      </c>
      <c r="K217" s="251">
        <f>K214</f>
        <v>210723.753</v>
      </c>
      <c r="L217" s="251">
        <f t="shared" ref="L217:T217" si="605">L214</f>
        <v>0</v>
      </c>
      <c r="M217" s="251">
        <f t="shared" si="605"/>
        <v>210723.753</v>
      </c>
      <c r="N217" s="251">
        <f t="shared" si="605"/>
        <v>0</v>
      </c>
      <c r="O217" s="251">
        <f t="shared" si="605"/>
        <v>0</v>
      </c>
      <c r="P217" s="251">
        <f t="shared" si="605"/>
        <v>0</v>
      </c>
      <c r="Q217" s="249">
        <f t="shared" si="605"/>
        <v>210723.753</v>
      </c>
      <c r="R217" s="249">
        <f t="shared" si="605"/>
        <v>0</v>
      </c>
      <c r="S217" s="249">
        <f t="shared" si="605"/>
        <v>210723.753</v>
      </c>
      <c r="T217" s="251">
        <f t="shared" si="605"/>
        <v>127756.26943999999</v>
      </c>
      <c r="U217" s="253">
        <f t="shared" si="585"/>
        <v>0.60627370014618143</v>
      </c>
      <c r="V217" s="251">
        <v>0</v>
      </c>
      <c r="W217" s="255">
        <v>0</v>
      </c>
      <c r="X217" s="251">
        <f t="shared" ref="X217" si="606">X214</f>
        <v>127756.26943999999</v>
      </c>
      <c r="Y217" s="253">
        <f t="shared" si="586"/>
        <v>0.60627370014618143</v>
      </c>
      <c r="Z217" s="251">
        <f>AD217</f>
        <v>82967.483560000008</v>
      </c>
      <c r="AA217" s="253">
        <f t="shared" si="587"/>
        <v>0.39372629985381863</v>
      </c>
      <c r="AB217" s="251">
        <v>0</v>
      </c>
      <c r="AC217" s="253">
        <v>0</v>
      </c>
      <c r="AD217" s="251">
        <f t="shared" ref="AD217:AD241" si="607">S217-X217</f>
        <v>82967.483560000008</v>
      </c>
      <c r="AE217" s="251" t="e">
        <f>AG217</f>
        <v>#REF!</v>
      </c>
      <c r="AF217" s="251"/>
      <c r="AG217" s="251" t="e">
        <f>#REF!+#REF!</f>
        <v>#REF!</v>
      </c>
      <c r="AH217" s="251" t="e">
        <f>#REF!+#REF!</f>
        <v>#REF!</v>
      </c>
      <c r="AI217" s="251"/>
      <c r="AJ217" s="251" t="e">
        <f>#REF!+#REF!</f>
        <v>#REF!</v>
      </c>
      <c r="AK217" s="251">
        <f t="shared" si="588"/>
        <v>128784.57901</v>
      </c>
      <c r="AL217" s="257">
        <v>0</v>
      </c>
      <c r="AM217" s="368">
        <f t="shared" si="600"/>
        <v>0.61115359410858638</v>
      </c>
      <c r="AN217" s="249">
        <v>0</v>
      </c>
      <c r="AO217" s="257" t="e">
        <f>AN217/AI217</f>
        <v>#DIV/0!</v>
      </c>
      <c r="AP217" s="368">
        <f t="shared" si="594"/>
        <v>0</v>
      </c>
      <c r="AQ217" s="251">
        <f>AQ218+AQ226+AQ236</f>
        <v>128784.57901</v>
      </c>
      <c r="AR217" s="257" t="e">
        <f>AQ217/AJ217</f>
        <v>#REF!</v>
      </c>
      <c r="AS217" s="368">
        <f>AQ217/S217</f>
        <v>0.61115359410858638</v>
      </c>
      <c r="AT217" s="251">
        <f t="shared" ref="AT217" si="608">AT214</f>
        <v>128784.57901</v>
      </c>
      <c r="AU217" s="769">
        <f t="shared" si="589"/>
        <v>0.61115359410858638</v>
      </c>
      <c r="AV217" s="251">
        <v>0</v>
      </c>
      <c r="AW217" s="792">
        <v>0</v>
      </c>
      <c r="AX217" s="251">
        <f t="shared" ref="AX217" si="609">AX214</f>
        <v>128784.57901</v>
      </c>
      <c r="AY217" s="793">
        <f>AX217/S217</f>
        <v>0.61115359410858638</v>
      </c>
      <c r="AZ217" s="251">
        <f t="shared" ref="AZ217" si="610">AZ214</f>
        <v>81939.173989999996</v>
      </c>
      <c r="BA217" s="498">
        <f t="shared" si="590"/>
        <v>0.38884640589141367</v>
      </c>
      <c r="BB217" s="251">
        <v>0</v>
      </c>
      <c r="BC217" s="498">
        <v>0</v>
      </c>
      <c r="BD217" s="251">
        <f t="shared" ref="BD217" si="611">BD214</f>
        <v>81939.173989999996</v>
      </c>
      <c r="BE217" s="375">
        <f t="shared" si="591"/>
        <v>0.38884640589141367</v>
      </c>
      <c r="BF217" s="251">
        <f t="shared" ref="BF217" si="612">BF214</f>
        <v>128784.57901</v>
      </c>
      <c r="BG217" s="373">
        <f t="shared" si="601"/>
        <v>1</v>
      </c>
      <c r="BH217" s="794">
        <v>0</v>
      </c>
      <c r="BI217" s="373">
        <v>0</v>
      </c>
      <c r="BJ217" s="251">
        <f t="shared" ref="BJ217" si="613">BJ214</f>
        <v>128784.57901</v>
      </c>
      <c r="BK217" s="373">
        <f t="shared" si="602"/>
        <v>1</v>
      </c>
      <c r="BL217" s="251">
        <f>BN217+BP217</f>
        <v>-9.0949470177292824E-13</v>
      </c>
      <c r="BM217" s="373">
        <f t="shared" si="595"/>
        <v>-7.0621398055919946E-18</v>
      </c>
      <c r="BN217" s="251">
        <v>0</v>
      </c>
      <c r="BO217" s="795">
        <v>0</v>
      </c>
      <c r="BP217" s="251">
        <f t="shared" ref="BP217" si="614">BP214</f>
        <v>-9.0949470177292824E-13</v>
      </c>
      <c r="BQ217" s="373">
        <f t="shared" si="596"/>
        <v>-7.0621398055919946E-18</v>
      </c>
      <c r="BR217" s="251">
        <f>BT217+BV217</f>
        <v>0</v>
      </c>
      <c r="BS217" s="533">
        <f t="shared" si="603"/>
        <v>0</v>
      </c>
      <c r="BT217" s="251">
        <v>0</v>
      </c>
      <c r="BU217" s="533">
        <v>0</v>
      </c>
      <c r="BV217" s="251">
        <f>BV219+BV240</f>
        <v>0</v>
      </c>
      <c r="BW217" s="533">
        <f t="shared" si="597"/>
        <v>0</v>
      </c>
      <c r="BX217" s="303"/>
      <c r="BY217" s="271">
        <f t="shared" si="592"/>
        <v>0.39372629985381863</v>
      </c>
      <c r="BZ217" s="176" t="e">
        <f>CD217</f>
        <v>#REF!</v>
      </c>
      <c r="CA217" s="631" t="e">
        <f>SUM(BZ217/BT217)</f>
        <v>#REF!</v>
      </c>
      <c r="CB217" s="176"/>
      <c r="CC217" s="631"/>
      <c r="CD217" s="176" t="e">
        <f>#REF!+#REF!</f>
        <v>#REF!</v>
      </c>
      <c r="CE217" s="631" t="e">
        <f>SUM(CD217/#REF!)</f>
        <v>#REF!</v>
      </c>
      <c r="CF217" s="176">
        <f>CH217</f>
        <v>0</v>
      </c>
      <c r="CG217" s="396"/>
      <c r="CH217" s="176">
        <f>CJ217</f>
        <v>0</v>
      </c>
      <c r="CI217" s="396"/>
      <c r="CJ217" s="176">
        <f>CL217</f>
        <v>0</v>
      </c>
      <c r="CK217" s="397"/>
    </row>
    <row r="218" spans="2:91" s="624" customFormat="1" ht="58.5" hidden="1" customHeight="1">
      <c r="B218" s="1183" t="s">
        <v>361</v>
      </c>
      <c r="C218" s="1184"/>
      <c r="D218" s="796"/>
      <c r="E218" s="502"/>
      <c r="F218" s="502"/>
      <c r="G218" s="502"/>
      <c r="H218" s="502"/>
      <c r="I218" s="502"/>
      <c r="J218" s="502"/>
      <c r="K218" s="503">
        <f>K219+K221+K223</f>
        <v>4411.8999999999996</v>
      </c>
      <c r="L218" s="503">
        <f t="shared" ref="L218:S218" si="615">L219+L221+L223</f>
        <v>0</v>
      </c>
      <c r="M218" s="503">
        <f t="shared" si="615"/>
        <v>4411.8999999999996</v>
      </c>
      <c r="N218" s="503">
        <f>N219+N221+N223</f>
        <v>0</v>
      </c>
      <c r="O218" s="503">
        <f t="shared" si="615"/>
        <v>0</v>
      </c>
      <c r="P218" s="503">
        <f t="shared" si="615"/>
        <v>0</v>
      </c>
      <c r="Q218" s="502">
        <f>Q219+Q221+Q223</f>
        <v>4411.8999999999996</v>
      </c>
      <c r="R218" s="502">
        <f t="shared" si="615"/>
        <v>0</v>
      </c>
      <c r="S218" s="502">
        <f t="shared" si="615"/>
        <v>4411.8999999999996</v>
      </c>
      <c r="T218" s="503">
        <f>X218</f>
        <v>15999.856449999999</v>
      </c>
      <c r="U218" s="254">
        <f t="shared" si="585"/>
        <v>3.6265229152972642</v>
      </c>
      <c r="V218" s="503">
        <f t="shared" ref="V218" si="616">P218</f>
        <v>0</v>
      </c>
      <c r="W218" s="797">
        <v>0</v>
      </c>
      <c r="X218" s="503">
        <f>X219+X221+X223</f>
        <v>15999.856449999999</v>
      </c>
      <c r="Y218" s="254">
        <f t="shared" si="586"/>
        <v>3.6265229152972642</v>
      </c>
      <c r="Z218" s="503">
        <f>AB218+AD218</f>
        <v>-11587.95645</v>
      </c>
      <c r="AA218" s="254">
        <f t="shared" si="587"/>
        <v>-2.6265229152972642</v>
      </c>
      <c r="AB218" s="503">
        <v>0</v>
      </c>
      <c r="AC218" s="254">
        <v>0</v>
      </c>
      <c r="AD218" s="503">
        <f t="shared" si="607"/>
        <v>-11587.95645</v>
      </c>
      <c r="AE218" s="503"/>
      <c r="AF218" s="503"/>
      <c r="AG218" s="503"/>
      <c r="AH218" s="503"/>
      <c r="AI218" s="503"/>
      <c r="AJ218" s="503"/>
      <c r="AK218" s="503">
        <f t="shared" si="588"/>
        <v>4087.14</v>
      </c>
      <c r="AL218" s="254"/>
      <c r="AM218" s="798">
        <f t="shared" si="600"/>
        <v>0.92638999070695172</v>
      </c>
      <c r="AN218" s="502">
        <v>0</v>
      </c>
      <c r="AO218" s="254"/>
      <c r="AP218" s="798">
        <f t="shared" si="594"/>
        <v>0</v>
      </c>
      <c r="AQ218" s="503">
        <f>AQ219+AQ221+AQ223+AQ225</f>
        <v>4087.14</v>
      </c>
      <c r="AR218" s="254"/>
      <c r="AS218" s="798">
        <f>AQ218/S218</f>
        <v>0.92638999070695172</v>
      </c>
      <c r="AT218" s="503">
        <f>AX218</f>
        <v>4087.14</v>
      </c>
      <c r="AU218" s="769">
        <f t="shared" si="589"/>
        <v>0.92638999070695172</v>
      </c>
      <c r="AV218" s="251">
        <v>0</v>
      </c>
      <c r="AW218" s="799">
        <v>0</v>
      </c>
      <c r="AX218" s="503">
        <f>AX219+AX221+AX223+AX225</f>
        <v>4087.14</v>
      </c>
      <c r="AY218" s="799">
        <f>AX218/S218</f>
        <v>0.92638999070695172</v>
      </c>
      <c r="AZ218" s="503">
        <f>BD218</f>
        <v>324.75999999999976</v>
      </c>
      <c r="BA218" s="498">
        <f t="shared" si="590"/>
        <v>7.3610009293048298E-2</v>
      </c>
      <c r="BB218" s="503"/>
      <c r="BC218" s="800">
        <v>0</v>
      </c>
      <c r="BD218" s="503">
        <f>BD219+BD221+BD223</f>
        <v>324.75999999999976</v>
      </c>
      <c r="BE218" s="375">
        <f t="shared" si="591"/>
        <v>7.3610009293048298E-2</v>
      </c>
      <c r="BF218" s="503">
        <f>BJ218</f>
        <v>4087.14</v>
      </c>
      <c r="BG218" s="373">
        <f t="shared" si="601"/>
        <v>1</v>
      </c>
      <c r="BH218" s="794">
        <v>0</v>
      </c>
      <c r="BI218" s="373">
        <v>0</v>
      </c>
      <c r="BJ218" s="503">
        <f>BJ219+BJ221+BJ223+BJ225</f>
        <v>4087.14</v>
      </c>
      <c r="BK218" s="373">
        <f t="shared" si="602"/>
        <v>1</v>
      </c>
      <c r="BL218" s="251">
        <f t="shared" ref="BL218:BL241" si="617">BN218+BP218</f>
        <v>0</v>
      </c>
      <c r="BM218" s="373">
        <f t="shared" si="595"/>
        <v>0</v>
      </c>
      <c r="BN218" s="503">
        <v>0</v>
      </c>
      <c r="BO218" s="795">
        <v>0</v>
      </c>
      <c r="BP218" s="503">
        <f>BP219+BP221+BP223+BP225</f>
        <v>0</v>
      </c>
      <c r="BQ218" s="373">
        <f t="shared" si="596"/>
        <v>0</v>
      </c>
      <c r="BR218" s="503">
        <f>BV218</f>
        <v>324.75999999999976</v>
      </c>
      <c r="BS218" s="533">
        <f t="shared" si="603"/>
        <v>7.3610009293048298E-2</v>
      </c>
      <c r="BT218" s="503">
        <v>0</v>
      </c>
      <c r="BU218" s="533">
        <v>0</v>
      </c>
      <c r="BV218" s="503">
        <f>BV219+BV221+BV223+BV225</f>
        <v>324.75999999999976</v>
      </c>
      <c r="BW218" s="533">
        <f t="shared" si="597"/>
        <v>7.3610009293048298E-2</v>
      </c>
      <c r="BX218" s="505"/>
      <c r="BY218" s="265">
        <f t="shared" si="592"/>
        <v>-2.6265229152972642</v>
      </c>
      <c r="BZ218" s="161"/>
      <c r="CA218" s="162"/>
      <c r="CB218" s="161"/>
      <c r="CC218" s="162"/>
      <c r="CD218" s="161"/>
      <c r="CE218" s="162"/>
      <c r="CF218" s="161"/>
      <c r="CG218" s="622"/>
      <c r="CH218" s="161"/>
      <c r="CI218" s="622"/>
      <c r="CJ218" s="161"/>
      <c r="CK218" s="623"/>
    </row>
    <row r="219" spans="2:91" s="580" customFormat="1" ht="36.75" hidden="1" customHeight="1">
      <c r="B219" s="801" t="s">
        <v>362</v>
      </c>
      <c r="C219" s="802" t="s">
        <v>363</v>
      </c>
      <c r="D219" s="803"/>
      <c r="E219" s="502"/>
      <c r="F219" s="502"/>
      <c r="G219" s="502"/>
      <c r="H219" s="502"/>
      <c r="I219" s="502"/>
      <c r="J219" s="502"/>
      <c r="K219" s="251">
        <f>L219+M219</f>
        <v>0</v>
      </c>
      <c r="L219" s="251"/>
      <c r="M219" s="251">
        <f>M220</f>
        <v>0</v>
      </c>
      <c r="N219" s="251">
        <f t="shared" ref="N219:N241" si="618">P219</f>
        <v>0</v>
      </c>
      <c r="O219" s="251"/>
      <c r="P219" s="251">
        <f t="shared" ref="P219:P241" si="619">S219-M219</f>
        <v>0</v>
      </c>
      <c r="Q219" s="249">
        <f>S219</f>
        <v>0</v>
      </c>
      <c r="R219" s="249"/>
      <c r="S219" s="249">
        <f>S220</f>
        <v>0</v>
      </c>
      <c r="T219" s="251">
        <f>X219</f>
        <v>11912.71645</v>
      </c>
      <c r="U219" s="253" t="e">
        <f t="shared" si="585"/>
        <v>#DIV/0!</v>
      </c>
      <c r="V219" s="251">
        <v>0</v>
      </c>
      <c r="W219" s="255">
        <v>0</v>
      </c>
      <c r="X219" s="251">
        <f>X220</f>
        <v>11912.71645</v>
      </c>
      <c r="Y219" s="253" t="e">
        <f t="shared" si="586"/>
        <v>#DIV/0!</v>
      </c>
      <c r="Z219" s="251">
        <f>AB219+AD219</f>
        <v>-11912.71645</v>
      </c>
      <c r="AA219" s="253" t="e">
        <f t="shared" si="587"/>
        <v>#DIV/0!</v>
      </c>
      <c r="AB219" s="251">
        <v>0</v>
      </c>
      <c r="AC219" s="253">
        <v>0</v>
      </c>
      <c r="AD219" s="251">
        <f t="shared" si="607"/>
        <v>-11912.71645</v>
      </c>
      <c r="AE219" s="251"/>
      <c r="AF219" s="251"/>
      <c r="AG219" s="251"/>
      <c r="AH219" s="251"/>
      <c r="AI219" s="251"/>
      <c r="AJ219" s="251"/>
      <c r="AK219" s="251">
        <f>AQ219</f>
        <v>0</v>
      </c>
      <c r="AL219" s="257"/>
      <c r="AM219" s="368">
        <v>0</v>
      </c>
      <c r="AN219" s="249">
        <v>0</v>
      </c>
      <c r="AO219" s="257"/>
      <c r="AP219" s="368">
        <f t="shared" si="594"/>
        <v>0</v>
      </c>
      <c r="AQ219" s="251">
        <f>AQ220</f>
        <v>0</v>
      </c>
      <c r="AR219" s="257"/>
      <c r="AS219" s="368">
        <v>0</v>
      </c>
      <c r="AT219" s="251">
        <f>AT220</f>
        <v>0</v>
      </c>
      <c r="AU219" s="769">
        <v>0</v>
      </c>
      <c r="AV219" s="251">
        <v>0</v>
      </c>
      <c r="AW219" s="792">
        <v>0</v>
      </c>
      <c r="AX219" s="251">
        <f>AX220</f>
        <v>0</v>
      </c>
      <c r="AY219" s="793">
        <v>0</v>
      </c>
      <c r="AZ219" s="251">
        <f>BB219+BD219</f>
        <v>0</v>
      </c>
      <c r="BA219" s="498" t="e">
        <f t="shared" si="590"/>
        <v>#DIV/0!</v>
      </c>
      <c r="BB219" s="387"/>
      <c r="BC219" s="498">
        <v>0</v>
      </c>
      <c r="BD219" s="251">
        <f>M219-AX219</f>
        <v>0</v>
      </c>
      <c r="BE219" s="375" t="e">
        <f t="shared" si="591"/>
        <v>#DIV/0!</v>
      </c>
      <c r="BF219" s="251">
        <f>BJ219</f>
        <v>0</v>
      </c>
      <c r="BG219" s="373" t="e">
        <f t="shared" si="601"/>
        <v>#DIV/0!</v>
      </c>
      <c r="BH219" s="794">
        <v>0</v>
      </c>
      <c r="BI219" s="373">
        <v>0</v>
      </c>
      <c r="BJ219" s="251">
        <f>BJ220</f>
        <v>0</v>
      </c>
      <c r="BK219" s="373">
        <v>0</v>
      </c>
      <c r="BL219" s="251">
        <f t="shared" si="617"/>
        <v>0</v>
      </c>
      <c r="BM219" s="373" t="e">
        <f t="shared" si="595"/>
        <v>#DIV/0!</v>
      </c>
      <c r="BN219" s="251">
        <v>0</v>
      </c>
      <c r="BO219" s="795">
        <v>0</v>
      </c>
      <c r="BP219" s="251">
        <v>0</v>
      </c>
      <c r="BQ219" s="373" t="e">
        <f t="shared" si="596"/>
        <v>#DIV/0!</v>
      </c>
      <c r="BR219" s="503">
        <f>BT219+BV219</f>
        <v>0</v>
      </c>
      <c r="BS219" s="533" t="e">
        <f t="shared" si="603"/>
        <v>#DIV/0!</v>
      </c>
      <c r="BT219" s="503">
        <v>0</v>
      </c>
      <c r="BU219" s="533">
        <v>0</v>
      </c>
      <c r="BV219" s="503">
        <f>BV220</f>
        <v>0</v>
      </c>
      <c r="BW219" s="533" t="e">
        <f t="shared" si="597"/>
        <v>#DIV/0!</v>
      </c>
      <c r="BX219" s="505"/>
      <c r="BY219" s="265" t="e">
        <f t="shared" si="592"/>
        <v>#DIV/0!</v>
      </c>
      <c r="BZ219" s="161"/>
      <c r="CA219" s="630"/>
      <c r="CB219" s="161"/>
      <c r="CC219" s="630"/>
      <c r="CD219" s="161"/>
      <c r="CE219" s="630"/>
      <c r="CF219" s="152" t="s">
        <v>364</v>
      </c>
      <c r="CG219" s="152" t="s">
        <v>364</v>
      </c>
      <c r="CH219" s="161"/>
      <c r="CI219" s="589"/>
      <c r="CJ219" s="161"/>
      <c r="CK219" s="590"/>
      <c r="CL219" s="804"/>
      <c r="CM219" s="804"/>
    </row>
    <row r="220" spans="2:91" s="424" customFormat="1" ht="29.25" hidden="1" customHeight="1">
      <c r="B220" s="805"/>
      <c r="C220" s="713" t="s">
        <v>365</v>
      </c>
      <c r="D220" s="791"/>
      <c r="E220" s="249"/>
      <c r="F220" s="249"/>
      <c r="G220" s="249"/>
      <c r="H220" s="249"/>
      <c r="I220" s="249"/>
      <c r="J220" s="249"/>
      <c r="K220" s="251">
        <f>L220+M220</f>
        <v>0</v>
      </c>
      <c r="L220" s="251"/>
      <c r="M220" s="251">
        <v>0</v>
      </c>
      <c r="N220" s="251">
        <f t="shared" si="618"/>
        <v>0</v>
      </c>
      <c r="O220" s="251"/>
      <c r="P220" s="251">
        <f t="shared" si="619"/>
        <v>0</v>
      </c>
      <c r="Q220" s="249">
        <f t="shared" ref="Q220:Q241" si="620">S220</f>
        <v>0</v>
      </c>
      <c r="R220" s="249"/>
      <c r="S220" s="249">
        <v>0</v>
      </c>
      <c r="T220" s="251">
        <f t="shared" ref="T220:T235" si="621">X220</f>
        <v>11912.71645</v>
      </c>
      <c r="U220" s="253" t="e">
        <f t="shared" si="585"/>
        <v>#DIV/0!</v>
      </c>
      <c r="V220" s="251">
        <v>0</v>
      </c>
      <c r="W220" s="255">
        <v>0</v>
      </c>
      <c r="X220" s="251">
        <v>11912.71645</v>
      </c>
      <c r="Y220" s="253" t="e">
        <f t="shared" si="586"/>
        <v>#DIV/0!</v>
      </c>
      <c r="Z220" s="251">
        <f>AB220+AD220</f>
        <v>-11912.71645</v>
      </c>
      <c r="AA220" s="253" t="e">
        <f t="shared" si="587"/>
        <v>#DIV/0!</v>
      </c>
      <c r="AB220" s="251">
        <v>0</v>
      </c>
      <c r="AC220" s="253">
        <v>0</v>
      </c>
      <c r="AD220" s="251">
        <f t="shared" si="607"/>
        <v>-11912.71645</v>
      </c>
      <c r="AE220" s="251"/>
      <c r="AF220" s="251"/>
      <c r="AG220" s="251"/>
      <c r="AH220" s="251"/>
      <c r="AI220" s="251"/>
      <c r="AJ220" s="251"/>
      <c r="AK220" s="251">
        <f>AQ220</f>
        <v>0</v>
      </c>
      <c r="AL220" s="257"/>
      <c r="AM220" s="368">
        <v>0</v>
      </c>
      <c r="AN220" s="249">
        <v>0</v>
      </c>
      <c r="AO220" s="257"/>
      <c r="AP220" s="368">
        <f t="shared" si="594"/>
        <v>0</v>
      </c>
      <c r="AQ220" s="251">
        <f>AX220</f>
        <v>0</v>
      </c>
      <c r="AR220" s="257"/>
      <c r="AS220" s="368">
        <v>0</v>
      </c>
      <c r="AT220" s="251">
        <f>AX220</f>
        <v>0</v>
      </c>
      <c r="AU220" s="769">
        <v>0</v>
      </c>
      <c r="AV220" s="251">
        <v>0</v>
      </c>
      <c r="AW220" s="792">
        <v>0</v>
      </c>
      <c r="AX220" s="251">
        <v>0</v>
      </c>
      <c r="AY220" s="793">
        <v>0</v>
      </c>
      <c r="AZ220" s="251">
        <f>BB220+BD220</f>
        <v>0</v>
      </c>
      <c r="BA220" s="498" t="e">
        <f t="shared" si="590"/>
        <v>#DIV/0!</v>
      </c>
      <c r="BB220" s="387"/>
      <c r="BC220" s="498">
        <v>0</v>
      </c>
      <c r="BD220" s="251">
        <f>S220-AX220</f>
        <v>0</v>
      </c>
      <c r="BE220" s="375" t="e">
        <f t="shared" si="591"/>
        <v>#DIV/0!</v>
      </c>
      <c r="BF220" s="251">
        <f>BH220+BJ220</f>
        <v>0</v>
      </c>
      <c r="BG220" s="373" t="e">
        <f t="shared" si="601"/>
        <v>#DIV/0!</v>
      </c>
      <c r="BH220" s="794">
        <v>0</v>
      </c>
      <c r="BI220" s="373">
        <v>0</v>
      </c>
      <c r="BJ220" s="251">
        <f>S220</f>
        <v>0</v>
      </c>
      <c r="BK220" s="373">
        <v>0</v>
      </c>
      <c r="BL220" s="251">
        <f t="shared" si="617"/>
        <v>0</v>
      </c>
      <c r="BM220" s="373" t="e">
        <f t="shared" si="595"/>
        <v>#DIV/0!</v>
      </c>
      <c r="BN220" s="251">
        <v>0</v>
      </c>
      <c r="BO220" s="795">
        <v>0</v>
      </c>
      <c r="BP220" s="251">
        <v>0</v>
      </c>
      <c r="BQ220" s="373" t="e">
        <f t="shared" si="596"/>
        <v>#DIV/0!</v>
      </c>
      <c r="BR220" s="251">
        <f>BT220+BV220</f>
        <v>0</v>
      </c>
      <c r="BS220" s="533" t="e">
        <f t="shared" si="603"/>
        <v>#DIV/0!</v>
      </c>
      <c r="BT220" s="251">
        <v>0</v>
      </c>
      <c r="BU220" s="533">
        <v>0</v>
      </c>
      <c r="BV220" s="251">
        <f>M220-BJ220</f>
        <v>0</v>
      </c>
      <c r="BW220" s="533" t="e">
        <f t="shared" si="597"/>
        <v>#DIV/0!</v>
      </c>
      <c r="BX220" s="303"/>
      <c r="BY220" s="271" t="e">
        <f t="shared" si="592"/>
        <v>#DIV/0!</v>
      </c>
      <c r="BZ220" s="176"/>
      <c r="CA220" s="631"/>
      <c r="CB220" s="176"/>
      <c r="CC220" s="631"/>
      <c r="CD220" s="176"/>
      <c r="CE220" s="631"/>
      <c r="CF220" s="176"/>
      <c r="CG220" s="393"/>
      <c r="CH220" s="176"/>
      <c r="CI220" s="393"/>
      <c r="CJ220" s="176"/>
      <c r="CK220" s="394"/>
      <c r="CL220" s="806"/>
      <c r="CM220" s="806"/>
    </row>
    <row r="221" spans="2:91" s="580" customFormat="1" ht="51.75" hidden="1" customHeight="1">
      <c r="B221" s="801" t="s">
        <v>62</v>
      </c>
      <c r="C221" s="807" t="s">
        <v>366</v>
      </c>
      <c r="D221" s="803"/>
      <c r="E221" s="502"/>
      <c r="F221" s="502"/>
      <c r="G221" s="502"/>
      <c r="H221" s="502"/>
      <c r="I221" s="502"/>
      <c r="J221" s="502"/>
      <c r="K221" s="251">
        <f>M221</f>
        <v>0</v>
      </c>
      <c r="L221" s="251"/>
      <c r="M221" s="251">
        <f>M222</f>
        <v>0</v>
      </c>
      <c r="N221" s="251">
        <f t="shared" si="618"/>
        <v>0</v>
      </c>
      <c r="O221" s="251"/>
      <c r="P221" s="251">
        <f t="shared" si="619"/>
        <v>0</v>
      </c>
      <c r="Q221" s="249">
        <f>S221</f>
        <v>0</v>
      </c>
      <c r="R221" s="249"/>
      <c r="S221" s="249">
        <f>S222</f>
        <v>0</v>
      </c>
      <c r="T221" s="251">
        <f t="shared" si="621"/>
        <v>0</v>
      </c>
      <c r="U221" s="253" t="e">
        <f t="shared" si="585"/>
        <v>#DIV/0!</v>
      </c>
      <c r="V221" s="251">
        <v>0</v>
      </c>
      <c r="W221" s="255">
        <v>0</v>
      </c>
      <c r="X221" s="251">
        <f>X222</f>
        <v>0</v>
      </c>
      <c r="Y221" s="253" t="e">
        <f t="shared" si="586"/>
        <v>#DIV/0!</v>
      </c>
      <c r="Z221" s="251">
        <f t="shared" ref="Z221:Z241" si="622">AB221+AD221</f>
        <v>0</v>
      </c>
      <c r="AA221" s="253" t="e">
        <f t="shared" si="587"/>
        <v>#DIV/0!</v>
      </c>
      <c r="AB221" s="251">
        <v>0</v>
      </c>
      <c r="AC221" s="253">
        <v>0</v>
      </c>
      <c r="AD221" s="251">
        <f t="shared" si="607"/>
        <v>0</v>
      </c>
      <c r="AE221" s="251"/>
      <c r="AF221" s="251"/>
      <c r="AG221" s="251"/>
      <c r="AH221" s="251"/>
      <c r="AI221" s="251"/>
      <c r="AJ221" s="251"/>
      <c r="AK221" s="251">
        <f t="shared" ref="AK221:AK241" si="623">AQ221</f>
        <v>0</v>
      </c>
      <c r="AL221" s="257"/>
      <c r="AM221" s="368" t="e">
        <f t="shared" si="600"/>
        <v>#DIV/0!</v>
      </c>
      <c r="AN221" s="249">
        <v>0</v>
      </c>
      <c r="AO221" s="257"/>
      <c r="AP221" s="368">
        <v>0</v>
      </c>
      <c r="AQ221" s="251">
        <f t="shared" ref="AQ221:AQ241" si="624">AX221</f>
        <v>0</v>
      </c>
      <c r="AR221" s="257"/>
      <c r="AS221" s="368" t="e">
        <f t="shared" ref="AS221:AS224" si="625">AQ221/S221</f>
        <v>#DIV/0!</v>
      </c>
      <c r="AT221" s="251">
        <f>AT222</f>
        <v>0</v>
      </c>
      <c r="AU221" s="769">
        <v>0</v>
      </c>
      <c r="AV221" s="251">
        <v>0</v>
      </c>
      <c r="AW221" s="792">
        <v>0</v>
      </c>
      <c r="AX221" s="251">
        <f>AX222</f>
        <v>0</v>
      </c>
      <c r="AY221" s="793" t="e">
        <f>AX221/S221</f>
        <v>#DIV/0!</v>
      </c>
      <c r="AZ221" s="251">
        <f t="shared" ref="AZ221:AZ241" si="626">BB221+BD221</f>
        <v>0</v>
      </c>
      <c r="BA221" s="498" t="e">
        <f t="shared" si="590"/>
        <v>#DIV/0!</v>
      </c>
      <c r="BB221" s="387"/>
      <c r="BC221" s="498">
        <v>0</v>
      </c>
      <c r="BD221" s="251">
        <f>M221-AX221</f>
        <v>0</v>
      </c>
      <c r="BE221" s="375" t="e">
        <f t="shared" si="591"/>
        <v>#DIV/0!</v>
      </c>
      <c r="BF221" s="251">
        <f>BJ221</f>
        <v>0</v>
      </c>
      <c r="BG221" s="373" t="e">
        <f t="shared" si="601"/>
        <v>#DIV/0!</v>
      </c>
      <c r="BH221" s="794">
        <v>0</v>
      </c>
      <c r="BI221" s="373">
        <v>0</v>
      </c>
      <c r="BJ221" s="251">
        <f>BJ222</f>
        <v>0</v>
      </c>
      <c r="BK221" s="373">
        <v>0</v>
      </c>
      <c r="BL221" s="251">
        <f t="shared" si="617"/>
        <v>0</v>
      </c>
      <c r="BM221" s="373" t="e">
        <f t="shared" si="595"/>
        <v>#DIV/0!</v>
      </c>
      <c r="BN221" s="251">
        <v>0</v>
      </c>
      <c r="BO221" s="795">
        <v>0</v>
      </c>
      <c r="BP221" s="251">
        <v>0</v>
      </c>
      <c r="BQ221" s="373" t="e">
        <f t="shared" si="596"/>
        <v>#DIV/0!</v>
      </c>
      <c r="BR221" s="503">
        <f>BV221</f>
        <v>0</v>
      </c>
      <c r="BS221" s="533" t="e">
        <f t="shared" si="603"/>
        <v>#DIV/0!</v>
      </c>
      <c r="BT221" s="503"/>
      <c r="BU221" s="533">
        <v>0</v>
      </c>
      <c r="BV221" s="503">
        <f>BV222</f>
        <v>0</v>
      </c>
      <c r="BW221" s="533" t="e">
        <f t="shared" si="597"/>
        <v>#DIV/0!</v>
      </c>
      <c r="BX221" s="505"/>
      <c r="BY221" s="265" t="e">
        <f t="shared" si="592"/>
        <v>#DIV/0!</v>
      </c>
      <c r="BZ221" s="161"/>
      <c r="CA221" s="630"/>
      <c r="CB221" s="161"/>
      <c r="CC221" s="630"/>
      <c r="CD221" s="161"/>
      <c r="CE221" s="630"/>
      <c r="CF221" s="152" t="s">
        <v>367</v>
      </c>
      <c r="CG221" s="152" t="s">
        <v>367</v>
      </c>
      <c r="CH221" s="161"/>
      <c r="CI221" s="589"/>
      <c r="CJ221" s="161"/>
      <c r="CK221" s="590"/>
      <c r="CL221" s="804"/>
      <c r="CM221" s="804"/>
    </row>
    <row r="222" spans="2:91" s="424" customFormat="1" ht="32.25" hidden="1" customHeight="1">
      <c r="B222" s="805"/>
      <c r="C222" s="713" t="s">
        <v>365</v>
      </c>
      <c r="D222" s="791"/>
      <c r="E222" s="249"/>
      <c r="F222" s="249"/>
      <c r="G222" s="249"/>
      <c r="H222" s="249"/>
      <c r="I222" s="249"/>
      <c r="J222" s="249"/>
      <c r="K222" s="251">
        <f t="shared" ref="K222:K224" si="627">L222+M222</f>
        <v>0</v>
      </c>
      <c r="L222" s="251"/>
      <c r="M222" s="251">
        <v>0</v>
      </c>
      <c r="N222" s="251">
        <f t="shared" si="618"/>
        <v>0</v>
      </c>
      <c r="O222" s="251"/>
      <c r="P222" s="251">
        <f t="shared" si="619"/>
        <v>0</v>
      </c>
      <c r="Q222" s="249">
        <f t="shared" si="620"/>
        <v>0</v>
      </c>
      <c r="R222" s="249"/>
      <c r="S222" s="249">
        <v>0</v>
      </c>
      <c r="T222" s="251">
        <f t="shared" si="621"/>
        <v>0</v>
      </c>
      <c r="U222" s="253" t="e">
        <f t="shared" si="585"/>
        <v>#DIV/0!</v>
      </c>
      <c r="V222" s="251">
        <v>0</v>
      </c>
      <c r="W222" s="255">
        <v>0</v>
      </c>
      <c r="X222" s="251">
        <f>AX222</f>
        <v>0</v>
      </c>
      <c r="Y222" s="253" t="e">
        <f t="shared" si="586"/>
        <v>#DIV/0!</v>
      </c>
      <c r="Z222" s="251">
        <f t="shared" si="622"/>
        <v>0</v>
      </c>
      <c r="AA222" s="253" t="e">
        <f t="shared" si="587"/>
        <v>#DIV/0!</v>
      </c>
      <c r="AB222" s="251">
        <v>0</v>
      </c>
      <c r="AC222" s="253">
        <v>0</v>
      </c>
      <c r="AD222" s="251">
        <f t="shared" si="607"/>
        <v>0</v>
      </c>
      <c r="AE222" s="251"/>
      <c r="AF222" s="251"/>
      <c r="AG222" s="251"/>
      <c r="AH222" s="251"/>
      <c r="AI222" s="251"/>
      <c r="AJ222" s="251"/>
      <c r="AK222" s="251">
        <f t="shared" si="623"/>
        <v>0</v>
      </c>
      <c r="AL222" s="257"/>
      <c r="AM222" s="368" t="e">
        <f t="shared" si="600"/>
        <v>#DIV/0!</v>
      </c>
      <c r="AN222" s="249">
        <v>0</v>
      </c>
      <c r="AO222" s="257"/>
      <c r="AP222" s="368">
        <v>0</v>
      </c>
      <c r="AQ222" s="251">
        <f t="shared" si="624"/>
        <v>0</v>
      </c>
      <c r="AR222" s="257"/>
      <c r="AS222" s="368" t="e">
        <f t="shared" si="625"/>
        <v>#DIV/0!</v>
      </c>
      <c r="AT222" s="251">
        <f>AV222+AX222</f>
        <v>0</v>
      </c>
      <c r="AU222" s="769">
        <v>0</v>
      </c>
      <c r="AV222" s="251">
        <v>0</v>
      </c>
      <c r="AW222" s="792">
        <v>0</v>
      </c>
      <c r="AX222" s="251">
        <v>0</v>
      </c>
      <c r="AY222" s="793" t="e">
        <f>AX222/S222</f>
        <v>#DIV/0!</v>
      </c>
      <c r="AZ222" s="251">
        <f t="shared" si="626"/>
        <v>0</v>
      </c>
      <c r="BA222" s="498" t="e">
        <f t="shared" si="590"/>
        <v>#DIV/0!</v>
      </c>
      <c r="BB222" s="387"/>
      <c r="BC222" s="498">
        <v>0</v>
      </c>
      <c r="BD222" s="251">
        <f>S222-AX222</f>
        <v>0</v>
      </c>
      <c r="BE222" s="375" t="e">
        <f t="shared" si="591"/>
        <v>#DIV/0!</v>
      </c>
      <c r="BF222" s="251">
        <f>BH222+BJ222</f>
        <v>0</v>
      </c>
      <c r="BG222" s="373" t="e">
        <f t="shared" si="601"/>
        <v>#DIV/0!</v>
      </c>
      <c r="BH222" s="794">
        <v>0</v>
      </c>
      <c r="BI222" s="373">
        <v>0</v>
      </c>
      <c r="BJ222" s="251">
        <v>0</v>
      </c>
      <c r="BK222" s="373">
        <v>0</v>
      </c>
      <c r="BL222" s="251">
        <f t="shared" si="617"/>
        <v>0</v>
      </c>
      <c r="BM222" s="373" t="e">
        <f t="shared" si="595"/>
        <v>#DIV/0!</v>
      </c>
      <c r="BN222" s="251">
        <v>0</v>
      </c>
      <c r="BO222" s="795">
        <v>0</v>
      </c>
      <c r="BP222" s="251">
        <v>0</v>
      </c>
      <c r="BQ222" s="373" t="e">
        <f t="shared" si="596"/>
        <v>#DIV/0!</v>
      </c>
      <c r="BR222" s="251">
        <f>BT222+BV222</f>
        <v>0</v>
      </c>
      <c r="BS222" s="533" t="e">
        <f t="shared" si="603"/>
        <v>#DIV/0!</v>
      </c>
      <c r="BT222" s="251"/>
      <c r="BU222" s="533">
        <v>0</v>
      </c>
      <c r="BV222" s="251">
        <f>S222-BJ222</f>
        <v>0</v>
      </c>
      <c r="BW222" s="533" t="e">
        <f t="shared" si="597"/>
        <v>#DIV/0!</v>
      </c>
      <c r="BX222" s="303"/>
      <c r="BY222" s="271" t="e">
        <f t="shared" si="592"/>
        <v>#DIV/0!</v>
      </c>
      <c r="BZ222" s="176"/>
      <c r="CA222" s="631"/>
      <c r="CB222" s="176"/>
      <c r="CC222" s="631"/>
      <c r="CD222" s="176"/>
      <c r="CE222" s="631"/>
      <c r="CF222" s="176"/>
      <c r="CG222" s="393"/>
      <c r="CH222" s="176"/>
      <c r="CI222" s="393"/>
      <c r="CJ222" s="176"/>
      <c r="CK222" s="394"/>
      <c r="CL222" s="806"/>
      <c r="CM222" s="806"/>
    </row>
    <row r="223" spans="2:91" s="580" customFormat="1" ht="48" customHeight="1">
      <c r="B223" s="801" t="s">
        <v>62</v>
      </c>
      <c r="C223" s="807" t="s">
        <v>368</v>
      </c>
      <c r="D223" s="807"/>
      <c r="E223" s="803"/>
      <c r="F223" s="502"/>
      <c r="G223" s="502"/>
      <c r="H223" s="502"/>
      <c r="I223" s="502"/>
      <c r="J223" s="502"/>
      <c r="K223" s="251">
        <f>M223</f>
        <v>4411.8999999999996</v>
      </c>
      <c r="L223" s="251"/>
      <c r="M223" s="251">
        <f>M224</f>
        <v>4411.8999999999996</v>
      </c>
      <c r="N223" s="251">
        <f t="shared" si="618"/>
        <v>0</v>
      </c>
      <c r="O223" s="251"/>
      <c r="P223" s="251">
        <f t="shared" si="619"/>
        <v>0</v>
      </c>
      <c r="Q223" s="249">
        <f>S223</f>
        <v>4411.8999999999996</v>
      </c>
      <c r="R223" s="249"/>
      <c r="S223" s="249">
        <f>S224</f>
        <v>4411.8999999999996</v>
      </c>
      <c r="T223" s="251">
        <f t="shared" si="621"/>
        <v>4087.14</v>
      </c>
      <c r="U223" s="253">
        <f t="shared" si="585"/>
        <v>0.92638999070695172</v>
      </c>
      <c r="V223" s="251">
        <v>0</v>
      </c>
      <c r="W223" s="255">
        <v>0</v>
      </c>
      <c r="X223" s="251">
        <f>X224</f>
        <v>4087.14</v>
      </c>
      <c r="Y223" s="253">
        <f t="shared" si="586"/>
        <v>0.92638999070695172</v>
      </c>
      <c r="Z223" s="251">
        <f t="shared" si="622"/>
        <v>324.75999999999976</v>
      </c>
      <c r="AA223" s="253">
        <f t="shared" si="587"/>
        <v>7.3610009293048298E-2</v>
      </c>
      <c r="AB223" s="251">
        <v>0</v>
      </c>
      <c r="AC223" s="253">
        <v>0</v>
      </c>
      <c r="AD223" s="251">
        <f t="shared" si="607"/>
        <v>324.75999999999976</v>
      </c>
      <c r="AE223" s="251"/>
      <c r="AF223" s="251"/>
      <c r="AG223" s="251"/>
      <c r="AH223" s="251"/>
      <c r="AI223" s="251"/>
      <c r="AJ223" s="251"/>
      <c r="AK223" s="251">
        <f t="shared" si="623"/>
        <v>4087.14</v>
      </c>
      <c r="AL223" s="251"/>
      <c r="AM223" s="368">
        <f t="shared" si="600"/>
        <v>0.92638999070695172</v>
      </c>
      <c r="AN223" s="808">
        <v>0</v>
      </c>
      <c r="AO223" s="251"/>
      <c r="AP223" s="368">
        <v>0</v>
      </c>
      <c r="AQ223" s="251">
        <f t="shared" si="624"/>
        <v>4087.14</v>
      </c>
      <c r="AR223" s="251"/>
      <c r="AS223" s="368">
        <f t="shared" si="625"/>
        <v>0.92638999070695172</v>
      </c>
      <c r="AT223" s="251">
        <f>AT224</f>
        <v>4087.14</v>
      </c>
      <c r="AU223" s="769">
        <f>AT223/K223</f>
        <v>0.92638999070695172</v>
      </c>
      <c r="AV223" s="251">
        <v>0</v>
      </c>
      <c r="AW223" s="792">
        <v>0</v>
      </c>
      <c r="AX223" s="251">
        <f>AX224</f>
        <v>4087.14</v>
      </c>
      <c r="AY223" s="793">
        <f>AX223/S223</f>
        <v>0.92638999070695172</v>
      </c>
      <c r="AZ223" s="251">
        <f t="shared" si="626"/>
        <v>324.75999999999976</v>
      </c>
      <c r="BA223" s="498">
        <f t="shared" si="590"/>
        <v>7.3610009293048298E-2</v>
      </c>
      <c r="BB223" s="387">
        <v>0</v>
      </c>
      <c r="BC223" s="498">
        <v>0</v>
      </c>
      <c r="BD223" s="251">
        <f>M223-AX223</f>
        <v>324.75999999999976</v>
      </c>
      <c r="BE223" s="375">
        <f t="shared" si="591"/>
        <v>7.3610009293048298E-2</v>
      </c>
      <c r="BF223" s="251">
        <f>BJ223</f>
        <v>4087.14</v>
      </c>
      <c r="BG223" s="373">
        <f t="shared" si="601"/>
        <v>1</v>
      </c>
      <c r="BH223" s="794">
        <v>0</v>
      </c>
      <c r="BI223" s="373">
        <v>0</v>
      </c>
      <c r="BJ223" s="251">
        <f>BJ224</f>
        <v>4087.14</v>
      </c>
      <c r="BK223" s="373">
        <f t="shared" si="602"/>
        <v>1</v>
      </c>
      <c r="BL223" s="251">
        <f t="shared" si="617"/>
        <v>0</v>
      </c>
      <c r="BM223" s="373">
        <f t="shared" si="595"/>
        <v>0</v>
      </c>
      <c r="BN223" s="251">
        <v>0</v>
      </c>
      <c r="BO223" s="795">
        <v>0</v>
      </c>
      <c r="BP223" s="251">
        <v>0</v>
      </c>
      <c r="BQ223" s="373">
        <f t="shared" si="596"/>
        <v>0</v>
      </c>
      <c r="BR223" s="503">
        <f>BV223</f>
        <v>324.75999999999976</v>
      </c>
      <c r="BS223" s="533">
        <f t="shared" si="603"/>
        <v>7.3610009293048298E-2</v>
      </c>
      <c r="BT223" s="503">
        <v>0</v>
      </c>
      <c r="BU223" s="533">
        <v>0</v>
      </c>
      <c r="BV223" s="503">
        <f>BV224</f>
        <v>324.75999999999976</v>
      </c>
      <c r="BW223" s="533">
        <f t="shared" si="597"/>
        <v>7.3610009293048298E-2</v>
      </c>
      <c r="BX223" s="609" t="s">
        <v>369</v>
      </c>
      <c r="BY223" s="265">
        <f t="shared" si="592"/>
        <v>7.3610009293048298E-2</v>
      </c>
      <c r="BZ223" s="265"/>
      <c r="CA223" s="161"/>
      <c r="CB223" s="630"/>
      <c r="CC223" s="161"/>
      <c r="CD223" s="630"/>
      <c r="CE223" s="161"/>
      <c r="CF223" s="152" t="s">
        <v>370</v>
      </c>
      <c r="CG223" s="152" t="s">
        <v>370</v>
      </c>
      <c r="CH223" s="589"/>
      <c r="CI223" s="161"/>
      <c r="CJ223" s="589"/>
      <c r="CK223" s="809"/>
      <c r="CL223" s="804"/>
      <c r="CM223" s="804"/>
    </row>
    <row r="224" spans="2:91" s="424" customFormat="1" ht="29.25" customHeight="1">
      <c r="B224" s="805"/>
      <c r="C224" s="713" t="s">
        <v>365</v>
      </c>
      <c r="D224" s="713"/>
      <c r="E224" s="791"/>
      <c r="F224" s="249"/>
      <c r="G224" s="249"/>
      <c r="H224" s="249"/>
      <c r="I224" s="249"/>
      <c r="J224" s="249"/>
      <c r="K224" s="251">
        <f t="shared" si="627"/>
        <v>4411.8999999999996</v>
      </c>
      <c r="L224" s="251"/>
      <c r="M224" s="251">
        <f>S224</f>
        <v>4411.8999999999996</v>
      </c>
      <c r="N224" s="251">
        <f t="shared" si="618"/>
        <v>0</v>
      </c>
      <c r="O224" s="251"/>
      <c r="P224" s="251">
        <f t="shared" si="619"/>
        <v>0</v>
      </c>
      <c r="Q224" s="249">
        <f t="shared" si="620"/>
        <v>4411.8999999999996</v>
      </c>
      <c r="R224" s="249"/>
      <c r="S224" s="249">
        <v>4411.8999999999996</v>
      </c>
      <c r="T224" s="251">
        <f t="shared" si="621"/>
        <v>4087.14</v>
      </c>
      <c r="U224" s="253">
        <f t="shared" si="585"/>
        <v>0.92638999070695172</v>
      </c>
      <c r="V224" s="251">
        <v>0</v>
      </c>
      <c r="W224" s="255">
        <v>0</v>
      </c>
      <c r="X224" s="251">
        <f>AT224</f>
        <v>4087.14</v>
      </c>
      <c r="Y224" s="253">
        <f t="shared" si="586"/>
        <v>0.92638999070695172</v>
      </c>
      <c r="Z224" s="251">
        <f t="shared" si="622"/>
        <v>324.75999999999976</v>
      </c>
      <c r="AA224" s="253">
        <f t="shared" si="587"/>
        <v>7.3610009293048298E-2</v>
      </c>
      <c r="AB224" s="251">
        <v>0</v>
      </c>
      <c r="AC224" s="253">
        <v>0</v>
      </c>
      <c r="AD224" s="251">
        <f t="shared" si="607"/>
        <v>324.75999999999976</v>
      </c>
      <c r="AE224" s="251"/>
      <c r="AF224" s="251"/>
      <c r="AG224" s="251"/>
      <c r="AH224" s="251"/>
      <c r="AI224" s="251"/>
      <c r="AJ224" s="251"/>
      <c r="AK224" s="251">
        <f t="shared" si="623"/>
        <v>4087.14</v>
      </c>
      <c r="AL224" s="251"/>
      <c r="AM224" s="368">
        <f t="shared" si="600"/>
        <v>0.92638999070695172</v>
      </c>
      <c r="AN224" s="808">
        <v>0</v>
      </c>
      <c r="AO224" s="251"/>
      <c r="AP224" s="368">
        <v>0</v>
      </c>
      <c r="AQ224" s="251">
        <f t="shared" si="624"/>
        <v>4087.14</v>
      </c>
      <c r="AR224" s="251"/>
      <c r="AS224" s="368">
        <f t="shared" si="625"/>
        <v>0.92638999070695172</v>
      </c>
      <c r="AT224" s="251">
        <f t="shared" ref="AT224:AT229" si="628">AV224+AX224</f>
        <v>4087.14</v>
      </c>
      <c r="AU224" s="769">
        <f>AT224/K224</f>
        <v>0.92638999070695172</v>
      </c>
      <c r="AV224" s="251">
        <v>0</v>
      </c>
      <c r="AW224" s="792">
        <v>0</v>
      </c>
      <c r="AX224" s="251">
        <v>4087.14</v>
      </c>
      <c r="AY224" s="793">
        <f>AX224/S224</f>
        <v>0.92638999070695172</v>
      </c>
      <c r="AZ224" s="251">
        <f t="shared" si="626"/>
        <v>324.75999999999976</v>
      </c>
      <c r="BA224" s="498">
        <f t="shared" si="590"/>
        <v>7.3610009293048298E-2</v>
      </c>
      <c r="BB224" s="387">
        <v>0</v>
      </c>
      <c r="BC224" s="498">
        <v>0</v>
      </c>
      <c r="BD224" s="251">
        <f>S224-AX224</f>
        <v>324.75999999999976</v>
      </c>
      <c r="BE224" s="375">
        <f t="shared" si="591"/>
        <v>7.3610009293048298E-2</v>
      </c>
      <c r="BF224" s="251">
        <f>BH224+BJ224</f>
        <v>4087.14</v>
      </c>
      <c r="BG224" s="373">
        <f t="shared" si="601"/>
        <v>1</v>
      </c>
      <c r="BH224" s="794">
        <v>0</v>
      </c>
      <c r="BI224" s="373">
        <v>0</v>
      </c>
      <c r="BJ224" s="251">
        <f>'[1]тыс. руб 1 знак'!$AX$218</f>
        <v>4087.14</v>
      </c>
      <c r="BK224" s="373">
        <f t="shared" si="602"/>
        <v>1</v>
      </c>
      <c r="BL224" s="251">
        <f t="shared" si="617"/>
        <v>0</v>
      </c>
      <c r="BM224" s="373">
        <f t="shared" si="595"/>
        <v>0</v>
      </c>
      <c r="BN224" s="251">
        <v>0</v>
      </c>
      <c r="BO224" s="795">
        <v>0</v>
      </c>
      <c r="BP224" s="251">
        <v>0</v>
      </c>
      <c r="BQ224" s="373">
        <f t="shared" si="596"/>
        <v>0</v>
      </c>
      <c r="BR224" s="251">
        <f>BT224+BV224</f>
        <v>324.75999999999976</v>
      </c>
      <c r="BS224" s="533">
        <f t="shared" si="603"/>
        <v>7.3610009293048298E-2</v>
      </c>
      <c r="BT224" s="251">
        <v>0</v>
      </c>
      <c r="BU224" s="533">
        <v>0</v>
      </c>
      <c r="BV224" s="251">
        <f>M224-BJ224</f>
        <v>324.75999999999976</v>
      </c>
      <c r="BW224" s="533">
        <f t="shared" si="597"/>
        <v>7.3610009293048298E-2</v>
      </c>
      <c r="BX224" s="393"/>
      <c r="BY224" s="271">
        <f t="shared" si="592"/>
        <v>7.3610009293048298E-2</v>
      </c>
      <c r="BZ224" s="271"/>
      <c r="CA224" s="176"/>
      <c r="CB224" s="631"/>
      <c r="CC224" s="176"/>
      <c r="CD224" s="631"/>
      <c r="CE224" s="176"/>
      <c r="CF224" s="631"/>
      <c r="CG224" s="176"/>
      <c r="CH224" s="393"/>
      <c r="CI224" s="176"/>
      <c r="CJ224" s="393"/>
      <c r="CK224" s="810"/>
      <c r="CL224" s="806"/>
      <c r="CM224" s="806"/>
    </row>
    <row r="225" spans="2:99" s="580" customFormat="1" ht="52.5" hidden="1" customHeight="1">
      <c r="B225" s="801" t="s">
        <v>37</v>
      </c>
      <c r="C225" s="807" t="s">
        <v>371</v>
      </c>
      <c r="D225" s="807"/>
      <c r="E225" s="803"/>
      <c r="F225" s="502"/>
      <c r="G225" s="502"/>
      <c r="H225" s="502"/>
      <c r="I225" s="502"/>
      <c r="J225" s="502"/>
      <c r="K225" s="251">
        <v>0</v>
      </c>
      <c r="L225" s="251"/>
      <c r="M225" s="251">
        <v>0</v>
      </c>
      <c r="N225" s="251">
        <v>0</v>
      </c>
      <c r="O225" s="251"/>
      <c r="P225" s="251">
        <v>0</v>
      </c>
      <c r="Q225" s="249">
        <v>0</v>
      </c>
      <c r="R225" s="249"/>
      <c r="S225" s="249">
        <v>0</v>
      </c>
      <c r="T225" s="251">
        <v>0</v>
      </c>
      <c r="U225" s="253">
        <v>0</v>
      </c>
      <c r="V225" s="251">
        <v>0</v>
      </c>
      <c r="W225" s="255">
        <v>0</v>
      </c>
      <c r="X225" s="251">
        <v>0</v>
      </c>
      <c r="Y225" s="253">
        <v>0</v>
      </c>
      <c r="Z225" s="251">
        <v>0</v>
      </c>
      <c r="AA225" s="253">
        <v>0</v>
      </c>
      <c r="AB225" s="251">
        <v>0</v>
      </c>
      <c r="AC225" s="253">
        <v>0</v>
      </c>
      <c r="AD225" s="251">
        <v>0</v>
      </c>
      <c r="AE225" s="251"/>
      <c r="AF225" s="251"/>
      <c r="AG225" s="251"/>
      <c r="AH225" s="251"/>
      <c r="AI225" s="251"/>
      <c r="AJ225" s="251"/>
      <c r="AK225" s="251">
        <f t="shared" si="623"/>
        <v>0</v>
      </c>
      <c r="AL225" s="251"/>
      <c r="AM225" s="368">
        <v>0</v>
      </c>
      <c r="AN225" s="808">
        <v>0</v>
      </c>
      <c r="AO225" s="251"/>
      <c r="AP225" s="368">
        <v>0</v>
      </c>
      <c r="AQ225" s="251">
        <f t="shared" si="624"/>
        <v>0</v>
      </c>
      <c r="AR225" s="251"/>
      <c r="AS225" s="368">
        <v>0</v>
      </c>
      <c r="AT225" s="257">
        <f t="shared" si="628"/>
        <v>0</v>
      </c>
      <c r="AU225" s="769">
        <v>0</v>
      </c>
      <c r="AV225" s="251">
        <v>0</v>
      </c>
      <c r="AW225" s="792">
        <v>0</v>
      </c>
      <c r="AX225" s="811">
        <v>0</v>
      </c>
      <c r="AY225" s="793">
        <v>0</v>
      </c>
      <c r="AZ225" s="251">
        <f t="shared" si="626"/>
        <v>0</v>
      </c>
      <c r="BA225" s="498" t="e">
        <f t="shared" si="590"/>
        <v>#DIV/0!</v>
      </c>
      <c r="BB225" s="387">
        <v>0</v>
      </c>
      <c r="BC225" s="498">
        <v>0</v>
      </c>
      <c r="BD225" s="251">
        <f>M225-AX225</f>
        <v>0</v>
      </c>
      <c r="BE225" s="375" t="e">
        <f t="shared" si="591"/>
        <v>#DIV/0!</v>
      </c>
      <c r="BF225" s="251">
        <f>BH225+BJ225</f>
        <v>0</v>
      </c>
      <c r="BG225" s="373" t="e">
        <f t="shared" si="601"/>
        <v>#DIV/0!</v>
      </c>
      <c r="BH225" s="794">
        <v>0</v>
      </c>
      <c r="BI225" s="373">
        <v>0</v>
      </c>
      <c r="BJ225" s="251">
        <f>AX225</f>
        <v>0</v>
      </c>
      <c r="BK225" s="373">
        <v>0</v>
      </c>
      <c r="BL225" s="251">
        <f t="shared" si="617"/>
        <v>0</v>
      </c>
      <c r="BM225" s="373" t="e">
        <f t="shared" si="595"/>
        <v>#DIV/0!</v>
      </c>
      <c r="BN225" s="251">
        <v>0</v>
      </c>
      <c r="BO225" s="795">
        <v>0</v>
      </c>
      <c r="BP225" s="251">
        <v>0</v>
      </c>
      <c r="BQ225" s="373" t="e">
        <f t="shared" si="596"/>
        <v>#DIV/0!</v>
      </c>
      <c r="BR225" s="503"/>
      <c r="BS225" s="533" t="e">
        <f t="shared" si="603"/>
        <v>#DIV/0!</v>
      </c>
      <c r="BT225" s="503"/>
      <c r="BU225" s="533">
        <v>0</v>
      </c>
      <c r="BV225" s="503"/>
      <c r="BW225" s="533" t="e">
        <f t="shared" si="597"/>
        <v>#DIV/0!</v>
      </c>
      <c r="BX225" s="589"/>
      <c r="BY225" s="265">
        <v>0</v>
      </c>
      <c r="BZ225" s="265"/>
      <c r="CA225" s="161"/>
      <c r="CB225" s="630"/>
      <c r="CC225" s="161"/>
      <c r="CD225" s="630"/>
      <c r="CE225" s="161"/>
      <c r="CF225" s="152" t="s">
        <v>372</v>
      </c>
      <c r="CG225" s="152" t="s">
        <v>372</v>
      </c>
      <c r="CH225" s="589"/>
      <c r="CI225" s="161"/>
      <c r="CJ225" s="589"/>
      <c r="CK225" s="809"/>
      <c r="CL225" s="804"/>
      <c r="CM225" s="804"/>
    </row>
    <row r="226" spans="2:99" s="624" customFormat="1" ht="52.5" hidden="1" customHeight="1">
      <c r="B226" s="1183" t="s">
        <v>373</v>
      </c>
      <c r="C226" s="1184"/>
      <c r="D226" s="1184"/>
      <c r="E226" s="796"/>
      <c r="F226" s="502"/>
      <c r="G226" s="502"/>
      <c r="H226" s="502"/>
      <c r="I226" s="502"/>
      <c r="J226" s="502"/>
      <c r="K226" s="503">
        <f>K227+K230+K233</f>
        <v>41940.628000000004</v>
      </c>
      <c r="L226" s="503">
        <f t="shared" ref="L226:S226" si="629">L227+L230+L233</f>
        <v>0</v>
      </c>
      <c r="M226" s="503">
        <f t="shared" si="629"/>
        <v>41940.628000000004</v>
      </c>
      <c r="N226" s="503">
        <f>N227+N230+N233</f>
        <v>0</v>
      </c>
      <c r="O226" s="503">
        <f t="shared" si="629"/>
        <v>0</v>
      </c>
      <c r="P226" s="503">
        <f t="shared" si="629"/>
        <v>0</v>
      </c>
      <c r="Q226" s="502">
        <f>Q227+Q230+Q233</f>
        <v>41940.628000000004</v>
      </c>
      <c r="R226" s="502">
        <f t="shared" si="629"/>
        <v>0</v>
      </c>
      <c r="S226" s="502">
        <f t="shared" si="629"/>
        <v>41940.628000000004</v>
      </c>
      <c r="T226" s="503">
        <f t="shared" si="621"/>
        <v>111756.41299</v>
      </c>
      <c r="U226" s="254">
        <f t="shared" si="585"/>
        <v>2.6646337529805226</v>
      </c>
      <c r="V226" s="503">
        <v>0</v>
      </c>
      <c r="W226" s="812">
        <v>0</v>
      </c>
      <c r="X226" s="503">
        <f>X227+X230+X233</f>
        <v>111756.41299</v>
      </c>
      <c r="Y226" s="254">
        <f t="shared" si="586"/>
        <v>2.6646337529805226</v>
      </c>
      <c r="Z226" s="503">
        <f t="shared" si="622"/>
        <v>-59140.90161999999</v>
      </c>
      <c r="AA226" s="254">
        <f t="shared" si="587"/>
        <v>-1.410110063683357</v>
      </c>
      <c r="AB226" s="503">
        <v>0</v>
      </c>
      <c r="AC226" s="254">
        <v>0</v>
      </c>
      <c r="AD226" s="503">
        <f>AD227+AD233</f>
        <v>-59140.90161999999</v>
      </c>
      <c r="AE226" s="503"/>
      <c r="AF226" s="503"/>
      <c r="AG226" s="503"/>
      <c r="AH226" s="503"/>
      <c r="AI226" s="503"/>
      <c r="AJ226" s="503"/>
      <c r="AK226" s="503">
        <f t="shared" si="623"/>
        <v>30826.439009999998</v>
      </c>
      <c r="AL226" s="503"/>
      <c r="AM226" s="483">
        <f t="shared" si="600"/>
        <v>0.73500184618122544</v>
      </c>
      <c r="AN226" s="813">
        <v>0</v>
      </c>
      <c r="AO226" s="503"/>
      <c r="AP226" s="483">
        <f t="shared" si="594"/>
        <v>0</v>
      </c>
      <c r="AQ226" s="503">
        <f t="shared" si="624"/>
        <v>30826.439009999998</v>
      </c>
      <c r="AR226" s="503"/>
      <c r="AS226" s="483">
        <f>AQ226/S226</f>
        <v>0.73500184618122544</v>
      </c>
      <c r="AT226" s="503">
        <f t="shared" si="628"/>
        <v>30826.439009999998</v>
      </c>
      <c r="AU226" s="769">
        <f>AT226/K226</f>
        <v>0.73500184618122544</v>
      </c>
      <c r="AV226" s="251">
        <v>0</v>
      </c>
      <c r="AW226" s="800">
        <v>0</v>
      </c>
      <c r="AX226" s="503">
        <f>AX227+AX230+AX233</f>
        <v>30826.439009999998</v>
      </c>
      <c r="AY226" s="800">
        <f>AX226/S226</f>
        <v>0.73500184618122544</v>
      </c>
      <c r="AZ226" s="503">
        <f t="shared" si="626"/>
        <v>11114.188990000006</v>
      </c>
      <c r="BA226" s="498">
        <f t="shared" si="590"/>
        <v>0.26499815381877462</v>
      </c>
      <c r="BB226" s="387">
        <v>0</v>
      </c>
      <c r="BC226" s="800">
        <v>0</v>
      </c>
      <c r="BD226" s="503">
        <f>M226-AX226</f>
        <v>11114.188990000006</v>
      </c>
      <c r="BE226" s="375">
        <f t="shared" si="591"/>
        <v>0.26499815381877462</v>
      </c>
      <c r="BF226" s="814">
        <f>BJ226</f>
        <v>30826.439009999998</v>
      </c>
      <c r="BG226" s="373">
        <f t="shared" si="601"/>
        <v>1</v>
      </c>
      <c r="BH226" s="794">
        <v>0</v>
      </c>
      <c r="BI226" s="373">
        <v>0</v>
      </c>
      <c r="BJ226" s="503">
        <f>BJ227+BJ230+BJ233</f>
        <v>30826.439009999998</v>
      </c>
      <c r="BK226" s="373">
        <f t="shared" si="602"/>
        <v>1</v>
      </c>
      <c r="BL226" s="251">
        <f t="shared" si="617"/>
        <v>0</v>
      </c>
      <c r="BM226" s="373">
        <f t="shared" si="595"/>
        <v>0</v>
      </c>
      <c r="BN226" s="251">
        <v>0</v>
      </c>
      <c r="BO226" s="795">
        <v>0</v>
      </c>
      <c r="BP226" s="251">
        <v>0</v>
      </c>
      <c r="BQ226" s="373">
        <f t="shared" si="596"/>
        <v>0</v>
      </c>
      <c r="BR226" s="814">
        <f>BV226</f>
        <v>11085.882250000002</v>
      </c>
      <c r="BS226" s="533">
        <f t="shared" si="603"/>
        <v>0.26432322973323147</v>
      </c>
      <c r="BT226" s="503"/>
      <c r="BU226" s="533">
        <v>0</v>
      </c>
      <c r="BV226" s="503">
        <f>BV227+BV230+BV233</f>
        <v>11085.882250000002</v>
      </c>
      <c r="BW226" s="533">
        <f t="shared" si="597"/>
        <v>0.26432322973323147</v>
      </c>
      <c r="BX226" s="622"/>
      <c r="BY226" s="265">
        <f t="shared" ref="BY226:BY241" si="630">AD226/S226</f>
        <v>-1.410110063683357</v>
      </c>
      <c r="BZ226" s="265"/>
      <c r="CA226" s="161"/>
      <c r="CB226" s="162"/>
      <c r="CC226" s="161"/>
      <c r="CD226" s="162"/>
      <c r="CE226" s="161"/>
      <c r="CF226" s="162"/>
      <c r="CG226" s="161"/>
      <c r="CH226" s="622"/>
      <c r="CI226" s="161"/>
      <c r="CJ226" s="622"/>
      <c r="CK226" s="809"/>
      <c r="CL226" s="815"/>
      <c r="CM226" s="815"/>
    </row>
    <row r="227" spans="2:99" s="580" customFormat="1" ht="52.5" hidden="1" customHeight="1">
      <c r="B227" s="801" t="s">
        <v>374</v>
      </c>
      <c r="C227" s="807" t="s">
        <v>375</v>
      </c>
      <c r="D227" s="816"/>
      <c r="E227" s="803"/>
      <c r="F227" s="502"/>
      <c r="G227" s="502"/>
      <c r="H227" s="502"/>
      <c r="I227" s="502"/>
      <c r="J227" s="502"/>
      <c r="K227" s="251">
        <f>SUM(K228:K229)</f>
        <v>0</v>
      </c>
      <c r="L227" s="251">
        <f t="shared" ref="L227:M227" si="631">SUM(L228:L229)</f>
        <v>0</v>
      </c>
      <c r="M227" s="251">
        <f t="shared" si="631"/>
        <v>0</v>
      </c>
      <c r="N227" s="251">
        <f t="shared" si="618"/>
        <v>0</v>
      </c>
      <c r="O227" s="251"/>
      <c r="P227" s="251">
        <f t="shared" si="619"/>
        <v>0</v>
      </c>
      <c r="Q227" s="249">
        <f t="shared" si="620"/>
        <v>0</v>
      </c>
      <c r="R227" s="249"/>
      <c r="S227" s="249">
        <f t="shared" ref="S227:S239" si="632">M227</f>
        <v>0</v>
      </c>
      <c r="T227" s="251">
        <f t="shared" si="621"/>
        <v>93739.195559999993</v>
      </c>
      <c r="U227" s="253" t="e">
        <f t="shared" si="585"/>
        <v>#DIV/0!</v>
      </c>
      <c r="V227" s="251">
        <v>0</v>
      </c>
      <c r="W227" s="255">
        <v>0</v>
      </c>
      <c r="X227" s="251">
        <f>X228+X229</f>
        <v>93739.195559999993</v>
      </c>
      <c r="Y227" s="253" t="e">
        <f t="shared" si="586"/>
        <v>#DIV/0!</v>
      </c>
      <c r="Z227" s="251">
        <f>AD227</f>
        <v>-93739.195559999993</v>
      </c>
      <c r="AA227" s="253" t="e">
        <f t="shared" si="587"/>
        <v>#DIV/0!</v>
      </c>
      <c r="AB227" s="251">
        <v>0</v>
      </c>
      <c r="AC227" s="253">
        <v>0</v>
      </c>
      <c r="AD227" s="251">
        <f>AD228+AD229</f>
        <v>-93739.195559999993</v>
      </c>
      <c r="AE227" s="251"/>
      <c r="AF227" s="251"/>
      <c r="AG227" s="251"/>
      <c r="AH227" s="251"/>
      <c r="AI227" s="251"/>
      <c r="AJ227" s="251"/>
      <c r="AK227" s="251">
        <f t="shared" si="623"/>
        <v>0</v>
      </c>
      <c r="AL227" s="251"/>
      <c r="AM227" s="368" t="e">
        <f t="shared" si="600"/>
        <v>#DIV/0!</v>
      </c>
      <c r="AN227" s="808">
        <v>0</v>
      </c>
      <c r="AO227" s="251"/>
      <c r="AP227" s="368">
        <f t="shared" si="594"/>
        <v>0</v>
      </c>
      <c r="AQ227" s="251">
        <f t="shared" si="624"/>
        <v>0</v>
      </c>
      <c r="AR227" s="251"/>
      <c r="AS227" s="368" t="e">
        <f>AQ227/S227</f>
        <v>#DIV/0!</v>
      </c>
      <c r="AT227" s="251">
        <f t="shared" si="628"/>
        <v>0</v>
      </c>
      <c r="AU227" s="769">
        <v>0</v>
      </c>
      <c r="AV227" s="251">
        <v>0</v>
      </c>
      <c r="AW227" s="792">
        <v>0</v>
      </c>
      <c r="AX227" s="811">
        <f>AX228+AX229</f>
        <v>0</v>
      </c>
      <c r="AY227" s="793">
        <v>0</v>
      </c>
      <c r="AZ227" s="251">
        <f t="shared" si="626"/>
        <v>0</v>
      </c>
      <c r="BA227" s="498" t="e">
        <f t="shared" si="590"/>
        <v>#DIV/0!</v>
      </c>
      <c r="BB227" s="387">
        <v>0</v>
      </c>
      <c r="BC227" s="498">
        <v>0</v>
      </c>
      <c r="BD227" s="251">
        <f>M227-AX227</f>
        <v>0</v>
      </c>
      <c r="BE227" s="375" t="e">
        <f t="shared" si="591"/>
        <v>#DIV/0!</v>
      </c>
      <c r="BF227" s="251">
        <f t="shared" ref="BF227:BF239" si="633">BH227+BJ227</f>
        <v>0</v>
      </c>
      <c r="BG227" s="373" t="e">
        <f t="shared" si="601"/>
        <v>#DIV/0!</v>
      </c>
      <c r="BH227" s="794">
        <v>0</v>
      </c>
      <c r="BI227" s="373">
        <v>0</v>
      </c>
      <c r="BJ227" s="251">
        <f>BJ228+BJ229</f>
        <v>0</v>
      </c>
      <c r="BK227" s="373">
        <v>0</v>
      </c>
      <c r="BL227" s="251">
        <f t="shared" si="617"/>
        <v>0</v>
      </c>
      <c r="BM227" s="373" t="e">
        <f t="shared" si="595"/>
        <v>#DIV/0!</v>
      </c>
      <c r="BN227" s="251">
        <v>0</v>
      </c>
      <c r="BO227" s="795">
        <v>0</v>
      </c>
      <c r="BP227" s="251">
        <v>0</v>
      </c>
      <c r="BQ227" s="373" t="e">
        <f t="shared" si="596"/>
        <v>#DIV/0!</v>
      </c>
      <c r="BR227" s="503"/>
      <c r="BS227" s="533" t="e">
        <f t="shared" si="603"/>
        <v>#DIV/0!</v>
      </c>
      <c r="BT227" s="503"/>
      <c r="BU227" s="533">
        <v>0</v>
      </c>
      <c r="BV227" s="503"/>
      <c r="BW227" s="533" t="e">
        <f t="shared" si="597"/>
        <v>#DIV/0!</v>
      </c>
      <c r="BX227" s="589"/>
      <c r="BY227" s="265" t="e">
        <f t="shared" si="630"/>
        <v>#DIV/0!</v>
      </c>
      <c r="BZ227" s="265"/>
      <c r="CA227" s="161"/>
      <c r="CB227" s="630"/>
      <c r="CC227" s="161"/>
      <c r="CD227" s="630"/>
      <c r="CE227" s="161"/>
      <c r="CF227" s="152" t="s">
        <v>376</v>
      </c>
      <c r="CG227" s="152" t="str">
        <f>CF227</f>
        <v>1,8км</v>
      </c>
      <c r="CH227" s="589"/>
      <c r="CI227" s="161"/>
      <c r="CJ227" s="589"/>
      <c r="CK227" s="809"/>
      <c r="CL227" s="804"/>
      <c r="CM227" s="804"/>
    </row>
    <row r="228" spans="2:99" s="424" customFormat="1" ht="52.5" hidden="1" customHeight="1">
      <c r="B228" s="805"/>
      <c r="C228" s="713" t="s">
        <v>365</v>
      </c>
      <c r="D228" s="791"/>
      <c r="E228" s="249"/>
      <c r="F228" s="249"/>
      <c r="G228" s="249"/>
      <c r="H228" s="249"/>
      <c r="I228" s="249"/>
      <c r="J228" s="249"/>
      <c r="K228" s="251">
        <f t="shared" ref="K228:K229" si="634">L228+M228</f>
        <v>0</v>
      </c>
      <c r="L228" s="251"/>
      <c r="M228" s="251">
        <v>0</v>
      </c>
      <c r="N228" s="251">
        <f t="shared" si="618"/>
        <v>0</v>
      </c>
      <c r="O228" s="251"/>
      <c r="P228" s="251">
        <f t="shared" si="619"/>
        <v>0</v>
      </c>
      <c r="Q228" s="249">
        <f t="shared" si="620"/>
        <v>0</v>
      </c>
      <c r="R228" s="249"/>
      <c r="S228" s="249">
        <f t="shared" si="632"/>
        <v>0</v>
      </c>
      <c r="T228" s="251">
        <f t="shared" si="621"/>
        <v>76014.812239999999</v>
      </c>
      <c r="U228" s="253" t="e">
        <f t="shared" si="585"/>
        <v>#DIV/0!</v>
      </c>
      <c r="V228" s="251">
        <v>0</v>
      </c>
      <c r="W228" s="255">
        <v>0</v>
      </c>
      <c r="X228" s="251">
        <v>76014.812239999999</v>
      </c>
      <c r="Y228" s="253" t="e">
        <f t="shared" si="586"/>
        <v>#DIV/0!</v>
      </c>
      <c r="Z228" s="251">
        <f t="shared" si="622"/>
        <v>-76014.812239999999</v>
      </c>
      <c r="AA228" s="253" t="e">
        <f t="shared" si="587"/>
        <v>#DIV/0!</v>
      </c>
      <c r="AB228" s="251">
        <v>0</v>
      </c>
      <c r="AC228" s="253">
        <v>0</v>
      </c>
      <c r="AD228" s="251">
        <f t="shared" si="607"/>
        <v>-76014.812239999999</v>
      </c>
      <c r="AE228" s="251"/>
      <c r="AF228" s="251"/>
      <c r="AG228" s="251"/>
      <c r="AH228" s="251"/>
      <c r="AI228" s="251"/>
      <c r="AJ228" s="251"/>
      <c r="AK228" s="251">
        <f t="shared" si="623"/>
        <v>0</v>
      </c>
      <c r="AL228" s="257"/>
      <c r="AM228" s="368" t="e">
        <f t="shared" si="600"/>
        <v>#DIV/0!</v>
      </c>
      <c r="AN228" s="808">
        <v>0</v>
      </c>
      <c r="AO228" s="257"/>
      <c r="AP228" s="368">
        <f t="shared" si="594"/>
        <v>0</v>
      </c>
      <c r="AQ228" s="251">
        <f t="shared" si="624"/>
        <v>0</v>
      </c>
      <c r="AR228" s="257"/>
      <c r="AS228" s="368" t="e">
        <f t="shared" ref="AS228:AS241" si="635">AQ228/S228</f>
        <v>#DIV/0!</v>
      </c>
      <c r="AT228" s="251">
        <f t="shared" si="628"/>
        <v>0</v>
      </c>
      <c r="AU228" s="769">
        <v>0</v>
      </c>
      <c r="AV228" s="251">
        <v>0</v>
      </c>
      <c r="AW228" s="792">
        <v>0</v>
      </c>
      <c r="AX228" s="251"/>
      <c r="AY228" s="793">
        <v>0</v>
      </c>
      <c r="AZ228" s="251">
        <f t="shared" si="626"/>
        <v>0</v>
      </c>
      <c r="BA228" s="498" t="e">
        <f t="shared" si="590"/>
        <v>#DIV/0!</v>
      </c>
      <c r="BB228" s="387">
        <v>0</v>
      </c>
      <c r="BC228" s="498">
        <v>0</v>
      </c>
      <c r="BD228" s="251">
        <f>S228-AX228</f>
        <v>0</v>
      </c>
      <c r="BE228" s="375" t="e">
        <f t="shared" si="591"/>
        <v>#DIV/0!</v>
      </c>
      <c r="BF228" s="251">
        <f t="shared" si="633"/>
        <v>0</v>
      </c>
      <c r="BG228" s="373" t="e">
        <f t="shared" si="601"/>
        <v>#DIV/0!</v>
      </c>
      <c r="BH228" s="794">
        <v>0</v>
      </c>
      <c r="BI228" s="373">
        <v>0</v>
      </c>
      <c r="BJ228" s="251">
        <f>S228</f>
        <v>0</v>
      </c>
      <c r="BK228" s="373">
        <v>0</v>
      </c>
      <c r="BL228" s="251">
        <f t="shared" si="617"/>
        <v>0</v>
      </c>
      <c r="BM228" s="373" t="e">
        <f t="shared" si="595"/>
        <v>#DIV/0!</v>
      </c>
      <c r="BN228" s="251">
        <v>0</v>
      </c>
      <c r="BO228" s="795">
        <v>0</v>
      </c>
      <c r="BP228" s="251">
        <v>0</v>
      </c>
      <c r="BQ228" s="373" t="e">
        <f t="shared" si="596"/>
        <v>#DIV/0!</v>
      </c>
      <c r="BR228" s="251"/>
      <c r="BS228" s="533" t="e">
        <f t="shared" si="603"/>
        <v>#DIV/0!</v>
      </c>
      <c r="BT228" s="251"/>
      <c r="BU228" s="533">
        <v>0</v>
      </c>
      <c r="BV228" s="251"/>
      <c r="BW228" s="533" t="e">
        <f t="shared" si="597"/>
        <v>#DIV/0!</v>
      </c>
      <c r="BX228" s="303"/>
      <c r="BY228" s="271" t="e">
        <f t="shared" si="630"/>
        <v>#DIV/0!</v>
      </c>
      <c r="BZ228" s="176"/>
      <c r="CA228" s="631"/>
      <c r="CB228" s="176"/>
      <c r="CC228" s="631"/>
      <c r="CD228" s="176"/>
      <c r="CE228" s="631"/>
      <c r="CF228" s="176"/>
      <c r="CG228" s="393"/>
      <c r="CH228" s="176"/>
      <c r="CI228" s="393"/>
      <c r="CJ228" s="176"/>
      <c r="CK228" s="394"/>
    </row>
    <row r="229" spans="2:99" s="424" customFormat="1" ht="52.5" hidden="1" customHeight="1">
      <c r="B229" s="805"/>
      <c r="C229" s="713" t="s">
        <v>377</v>
      </c>
      <c r="D229" s="791"/>
      <c r="E229" s="249"/>
      <c r="F229" s="249"/>
      <c r="G229" s="249"/>
      <c r="H229" s="249"/>
      <c r="I229" s="249"/>
      <c r="J229" s="249"/>
      <c r="K229" s="251">
        <f t="shared" si="634"/>
        <v>0</v>
      </c>
      <c r="L229" s="251"/>
      <c r="M229" s="251">
        <v>0</v>
      </c>
      <c r="N229" s="251">
        <f t="shared" si="618"/>
        <v>0</v>
      </c>
      <c r="O229" s="251"/>
      <c r="P229" s="251">
        <f t="shared" si="619"/>
        <v>0</v>
      </c>
      <c r="Q229" s="249">
        <f t="shared" si="620"/>
        <v>0</v>
      </c>
      <c r="R229" s="249"/>
      <c r="S229" s="249">
        <f t="shared" si="632"/>
        <v>0</v>
      </c>
      <c r="T229" s="251">
        <f t="shared" si="621"/>
        <v>17724.383320000001</v>
      </c>
      <c r="U229" s="253" t="e">
        <f t="shared" si="585"/>
        <v>#DIV/0!</v>
      </c>
      <c r="V229" s="251">
        <v>0</v>
      </c>
      <c r="W229" s="255">
        <v>0</v>
      </c>
      <c r="X229" s="251">
        <v>17724.383320000001</v>
      </c>
      <c r="Y229" s="253" t="e">
        <f t="shared" si="586"/>
        <v>#DIV/0!</v>
      </c>
      <c r="Z229" s="251">
        <f t="shared" si="622"/>
        <v>-17724.383320000001</v>
      </c>
      <c r="AA229" s="253" t="e">
        <f t="shared" si="587"/>
        <v>#DIV/0!</v>
      </c>
      <c r="AB229" s="251">
        <v>0</v>
      </c>
      <c r="AC229" s="253">
        <v>0</v>
      </c>
      <c r="AD229" s="251">
        <f t="shared" si="607"/>
        <v>-17724.383320000001</v>
      </c>
      <c r="AE229" s="251"/>
      <c r="AF229" s="251"/>
      <c r="AG229" s="251"/>
      <c r="AH229" s="251"/>
      <c r="AI229" s="251"/>
      <c r="AJ229" s="251"/>
      <c r="AK229" s="251">
        <f t="shared" si="623"/>
        <v>0</v>
      </c>
      <c r="AL229" s="257"/>
      <c r="AM229" s="368" t="e">
        <f t="shared" si="600"/>
        <v>#DIV/0!</v>
      </c>
      <c r="AN229" s="808">
        <v>0</v>
      </c>
      <c r="AO229" s="257"/>
      <c r="AP229" s="368">
        <f t="shared" si="594"/>
        <v>0</v>
      </c>
      <c r="AQ229" s="251">
        <f t="shared" si="624"/>
        <v>0</v>
      </c>
      <c r="AR229" s="257"/>
      <c r="AS229" s="368" t="e">
        <f t="shared" si="635"/>
        <v>#DIV/0!</v>
      </c>
      <c r="AT229" s="251">
        <f t="shared" si="628"/>
        <v>0</v>
      </c>
      <c r="AU229" s="769">
        <v>0</v>
      </c>
      <c r="AV229" s="251">
        <v>0</v>
      </c>
      <c r="AW229" s="792">
        <v>0</v>
      </c>
      <c r="AX229" s="251"/>
      <c r="AY229" s="793">
        <v>0</v>
      </c>
      <c r="AZ229" s="251">
        <f t="shared" si="626"/>
        <v>0</v>
      </c>
      <c r="BA229" s="498" t="e">
        <f t="shared" si="590"/>
        <v>#DIV/0!</v>
      </c>
      <c r="BB229" s="387">
        <v>0</v>
      </c>
      <c r="BC229" s="498">
        <v>0</v>
      </c>
      <c r="BD229" s="251">
        <f>S229-AX229</f>
        <v>0</v>
      </c>
      <c r="BE229" s="375" t="e">
        <f t="shared" si="591"/>
        <v>#DIV/0!</v>
      </c>
      <c r="BF229" s="251">
        <f t="shared" si="633"/>
        <v>0</v>
      </c>
      <c r="BG229" s="373" t="e">
        <f t="shared" si="601"/>
        <v>#DIV/0!</v>
      </c>
      <c r="BH229" s="794">
        <v>0</v>
      </c>
      <c r="BI229" s="373">
        <v>0</v>
      </c>
      <c r="BJ229" s="251">
        <f>S229</f>
        <v>0</v>
      </c>
      <c r="BK229" s="373">
        <v>0</v>
      </c>
      <c r="BL229" s="251">
        <f t="shared" si="617"/>
        <v>0</v>
      </c>
      <c r="BM229" s="373">
        <v>0</v>
      </c>
      <c r="BN229" s="251">
        <v>0</v>
      </c>
      <c r="BO229" s="795">
        <v>0</v>
      </c>
      <c r="BP229" s="251">
        <v>0</v>
      </c>
      <c r="BQ229" s="373" t="e">
        <f t="shared" si="596"/>
        <v>#DIV/0!</v>
      </c>
      <c r="BR229" s="251"/>
      <c r="BS229" s="533" t="e">
        <f t="shared" si="603"/>
        <v>#DIV/0!</v>
      </c>
      <c r="BT229" s="251"/>
      <c r="BU229" s="533">
        <v>0</v>
      </c>
      <c r="BV229" s="251"/>
      <c r="BW229" s="533" t="e">
        <f t="shared" si="597"/>
        <v>#DIV/0!</v>
      </c>
      <c r="BX229" s="303"/>
      <c r="BY229" s="271" t="e">
        <f t="shared" si="630"/>
        <v>#DIV/0!</v>
      </c>
      <c r="BZ229" s="176"/>
      <c r="CA229" s="631"/>
      <c r="CB229" s="176"/>
      <c r="CC229" s="631"/>
      <c r="CD229" s="176"/>
      <c r="CE229" s="631"/>
      <c r="CF229" s="176"/>
      <c r="CG229" s="393"/>
      <c r="CH229" s="176"/>
      <c r="CI229" s="393"/>
      <c r="CJ229" s="176"/>
      <c r="CK229" s="394"/>
    </row>
    <row r="230" spans="2:99" s="580" customFormat="1" ht="57" customHeight="1">
      <c r="B230" s="801" t="s">
        <v>155</v>
      </c>
      <c r="C230" s="807" t="s">
        <v>363</v>
      </c>
      <c r="D230" s="803"/>
      <c r="E230" s="502"/>
      <c r="F230" s="502"/>
      <c r="G230" s="502"/>
      <c r="H230" s="502"/>
      <c r="I230" s="502"/>
      <c r="J230" s="502"/>
      <c r="K230" s="251">
        <f>SUM(K231:K232)</f>
        <v>1622.2280000000001</v>
      </c>
      <c r="L230" s="251">
        <f t="shared" ref="L230:M230" si="636">SUM(L231:L232)</f>
        <v>0</v>
      </c>
      <c r="M230" s="251">
        <f t="shared" si="636"/>
        <v>1622.2280000000001</v>
      </c>
      <c r="N230" s="251">
        <f t="shared" si="618"/>
        <v>0</v>
      </c>
      <c r="O230" s="251"/>
      <c r="P230" s="251">
        <f t="shared" si="619"/>
        <v>0</v>
      </c>
      <c r="Q230" s="249">
        <f>S230</f>
        <v>1622.2280000000001</v>
      </c>
      <c r="R230" s="249"/>
      <c r="S230" s="249">
        <f>S231+S232</f>
        <v>1622.2280000000001</v>
      </c>
      <c r="T230" s="251">
        <f>X230</f>
        <v>12297.111370000001</v>
      </c>
      <c r="U230" s="253">
        <f t="shared" si="585"/>
        <v>7.580384119864779</v>
      </c>
      <c r="V230" s="251">
        <v>0</v>
      </c>
      <c r="W230" s="255">
        <v>0</v>
      </c>
      <c r="X230" s="251">
        <f>X231+X232</f>
        <v>12297.111370000001</v>
      </c>
      <c r="Y230" s="253">
        <f t="shared" si="586"/>
        <v>7.580384119864779</v>
      </c>
      <c r="Z230" s="251">
        <f>AD230</f>
        <v>-10674.883370000001</v>
      </c>
      <c r="AA230" s="253">
        <f t="shared" si="587"/>
        <v>-6.580384119864779</v>
      </c>
      <c r="AB230" s="251">
        <v>0</v>
      </c>
      <c r="AC230" s="253">
        <v>0</v>
      </c>
      <c r="AD230" s="251">
        <f>AD231+AD232</f>
        <v>-10674.883370000001</v>
      </c>
      <c r="AE230" s="251"/>
      <c r="AF230" s="251"/>
      <c r="AG230" s="251"/>
      <c r="AH230" s="251"/>
      <c r="AI230" s="251"/>
      <c r="AJ230" s="251"/>
      <c r="AK230" s="251">
        <f t="shared" si="623"/>
        <v>1500.01792</v>
      </c>
      <c r="AL230" s="257"/>
      <c r="AM230" s="368">
        <f t="shared" si="600"/>
        <v>0.92466528749349652</v>
      </c>
      <c r="AN230" s="808">
        <v>0</v>
      </c>
      <c r="AO230" s="257"/>
      <c r="AP230" s="368">
        <f t="shared" si="594"/>
        <v>0</v>
      </c>
      <c r="AQ230" s="251">
        <f t="shared" si="624"/>
        <v>1500.01792</v>
      </c>
      <c r="AR230" s="257"/>
      <c r="AS230" s="368">
        <f t="shared" si="635"/>
        <v>0.92466528749349652</v>
      </c>
      <c r="AT230" s="251">
        <f>AX230</f>
        <v>1500.01792</v>
      </c>
      <c r="AU230" s="769">
        <f t="shared" ref="AU230:AU238" si="637">AT230/K230</f>
        <v>0.92466528749349652</v>
      </c>
      <c r="AV230" s="251">
        <v>0</v>
      </c>
      <c r="AW230" s="792">
        <v>0</v>
      </c>
      <c r="AX230" s="251">
        <f>AX231+AX232</f>
        <v>1500.01792</v>
      </c>
      <c r="AY230" s="793">
        <f t="shared" ref="AY230:AY238" si="638">AX230/S230</f>
        <v>0.92466528749349652</v>
      </c>
      <c r="AZ230" s="251">
        <f t="shared" si="626"/>
        <v>122.21008000000006</v>
      </c>
      <c r="BA230" s="498">
        <f t="shared" si="590"/>
        <v>7.5334712506503435E-2</v>
      </c>
      <c r="BB230" s="387">
        <v>0</v>
      </c>
      <c r="BC230" s="498">
        <v>0</v>
      </c>
      <c r="BD230" s="251">
        <f>M230-AX230</f>
        <v>122.21008000000006</v>
      </c>
      <c r="BE230" s="375">
        <f t="shared" si="591"/>
        <v>7.5334712506503435E-2</v>
      </c>
      <c r="BF230" s="387">
        <f t="shared" si="633"/>
        <v>1500.01792</v>
      </c>
      <c r="BG230" s="373">
        <f t="shared" si="601"/>
        <v>1</v>
      </c>
      <c r="BH230" s="794">
        <v>0</v>
      </c>
      <c r="BI230" s="373">
        <v>0</v>
      </c>
      <c r="BJ230" s="251">
        <f>BJ231+BJ232</f>
        <v>1500.01792</v>
      </c>
      <c r="BK230" s="373">
        <f t="shared" si="602"/>
        <v>1</v>
      </c>
      <c r="BL230" s="251">
        <f t="shared" si="617"/>
        <v>0</v>
      </c>
      <c r="BM230" s="373">
        <f t="shared" si="595"/>
        <v>0</v>
      </c>
      <c r="BN230" s="251">
        <v>0</v>
      </c>
      <c r="BO230" s="795">
        <v>0</v>
      </c>
      <c r="BP230" s="251">
        <v>0</v>
      </c>
      <c r="BQ230" s="373">
        <f t="shared" si="596"/>
        <v>0</v>
      </c>
      <c r="BR230" s="503">
        <f>BV230</f>
        <v>93.903340000000071</v>
      </c>
      <c r="BS230" s="533">
        <f t="shared" si="603"/>
        <v>5.7885414380715948E-2</v>
      </c>
      <c r="BT230" s="251">
        <v>0</v>
      </c>
      <c r="BU230" s="533">
        <v>0</v>
      </c>
      <c r="BV230" s="503">
        <f>BV231</f>
        <v>93.903340000000071</v>
      </c>
      <c r="BW230" s="533">
        <f t="shared" si="597"/>
        <v>5.7885414380715948E-2</v>
      </c>
      <c r="BX230" s="609" t="s">
        <v>378</v>
      </c>
      <c r="BY230" s="265">
        <f t="shared" si="630"/>
        <v>-6.580384119864779</v>
      </c>
      <c r="BZ230" s="161"/>
      <c r="CA230" s="630"/>
      <c r="CB230" s="161"/>
      <c r="CC230" s="630"/>
      <c r="CD230" s="161"/>
      <c r="CE230" s="630"/>
      <c r="CF230" s="152" t="s">
        <v>379</v>
      </c>
      <c r="CG230" s="152" t="s">
        <v>379</v>
      </c>
      <c r="CH230" s="161"/>
      <c r="CI230" s="589"/>
      <c r="CJ230" s="161"/>
      <c r="CK230" s="590"/>
    </row>
    <row r="231" spans="2:99" s="424" customFormat="1" ht="20.25" customHeight="1">
      <c r="B231" s="805"/>
      <c r="C231" s="713" t="s">
        <v>365</v>
      </c>
      <c r="D231" s="791"/>
      <c r="E231" s="249"/>
      <c r="F231" s="249"/>
      <c r="G231" s="249"/>
      <c r="H231" s="249"/>
      <c r="I231" s="249"/>
      <c r="J231" s="249"/>
      <c r="K231" s="251">
        <f t="shared" ref="K231:K232" si="639">L231+M231</f>
        <v>1246.8910000000001</v>
      </c>
      <c r="L231" s="251"/>
      <c r="M231" s="251">
        <v>1246.8910000000001</v>
      </c>
      <c r="N231" s="251">
        <f t="shared" si="618"/>
        <v>0</v>
      </c>
      <c r="O231" s="251"/>
      <c r="P231" s="251">
        <f t="shared" si="619"/>
        <v>0</v>
      </c>
      <c r="Q231" s="249">
        <f t="shared" si="620"/>
        <v>1246.8910000000001</v>
      </c>
      <c r="R231" s="249"/>
      <c r="S231" s="249">
        <v>1246.8910000000001</v>
      </c>
      <c r="T231" s="251">
        <f t="shared" si="621"/>
        <v>8907.6532800000004</v>
      </c>
      <c r="U231" s="253">
        <f t="shared" si="585"/>
        <v>7.1438909094700334</v>
      </c>
      <c r="V231" s="251">
        <v>0</v>
      </c>
      <c r="W231" s="255">
        <v>0</v>
      </c>
      <c r="X231" s="251">
        <v>8907.6532800000004</v>
      </c>
      <c r="Y231" s="253">
        <f t="shared" si="586"/>
        <v>7.1438909094700334</v>
      </c>
      <c r="Z231" s="251">
        <f t="shared" si="622"/>
        <v>-7660.7622800000008</v>
      </c>
      <c r="AA231" s="253">
        <f t="shared" si="587"/>
        <v>-6.1438909094700342</v>
      </c>
      <c r="AB231" s="251">
        <v>0</v>
      </c>
      <c r="AC231" s="253">
        <v>0</v>
      </c>
      <c r="AD231" s="251">
        <f t="shared" si="607"/>
        <v>-7660.7622800000008</v>
      </c>
      <c r="AE231" s="251"/>
      <c r="AF231" s="251"/>
      <c r="AG231" s="251"/>
      <c r="AH231" s="251"/>
      <c r="AI231" s="251"/>
      <c r="AJ231" s="251"/>
      <c r="AK231" s="251">
        <f t="shared" si="623"/>
        <v>1152.98766</v>
      </c>
      <c r="AL231" s="257"/>
      <c r="AM231" s="368">
        <f t="shared" si="600"/>
        <v>0.92469001701030795</v>
      </c>
      <c r="AN231" s="808">
        <v>0</v>
      </c>
      <c r="AO231" s="257"/>
      <c r="AP231" s="368">
        <f t="shared" si="594"/>
        <v>0</v>
      </c>
      <c r="AQ231" s="251">
        <f t="shared" si="624"/>
        <v>1152.98766</v>
      </c>
      <c r="AR231" s="257"/>
      <c r="AS231" s="368">
        <f t="shared" si="635"/>
        <v>0.92469001701030795</v>
      </c>
      <c r="AT231" s="251">
        <f t="shared" ref="AT231:AT232" si="640">AV231+AX231</f>
        <v>1152.98766</v>
      </c>
      <c r="AU231" s="769">
        <f t="shared" si="637"/>
        <v>0.92469001701030795</v>
      </c>
      <c r="AV231" s="251">
        <v>0</v>
      </c>
      <c r="AW231" s="792">
        <v>0</v>
      </c>
      <c r="AX231" s="251">
        <f>BJ231</f>
        <v>1152.98766</v>
      </c>
      <c r="AY231" s="793">
        <f t="shared" si="638"/>
        <v>0.92469001701030795</v>
      </c>
      <c r="AZ231" s="251">
        <f t="shared" si="626"/>
        <v>93.903340000000071</v>
      </c>
      <c r="BA231" s="498">
        <f t="shared" si="590"/>
        <v>7.530998298969202E-2</v>
      </c>
      <c r="BB231" s="387">
        <v>0</v>
      </c>
      <c r="BC231" s="498">
        <v>0</v>
      </c>
      <c r="BD231" s="251">
        <f>S231-AX231</f>
        <v>93.903340000000071</v>
      </c>
      <c r="BE231" s="375">
        <f t="shared" si="591"/>
        <v>7.530998298969202E-2</v>
      </c>
      <c r="BF231" s="251">
        <f t="shared" si="633"/>
        <v>1152.98766</v>
      </c>
      <c r="BG231" s="373">
        <f t="shared" si="601"/>
        <v>1</v>
      </c>
      <c r="BH231" s="794">
        <v>0</v>
      </c>
      <c r="BI231" s="373">
        <v>0</v>
      </c>
      <c r="BJ231" s="251">
        <f>'[1]тыс. руб 1 знак'!$AX$225</f>
        <v>1152.98766</v>
      </c>
      <c r="BK231" s="373">
        <f t="shared" si="602"/>
        <v>1</v>
      </c>
      <c r="BL231" s="251">
        <f t="shared" si="617"/>
        <v>0</v>
      </c>
      <c r="BM231" s="373">
        <f t="shared" si="595"/>
        <v>0</v>
      </c>
      <c r="BN231" s="251">
        <v>0</v>
      </c>
      <c r="BO231" s="795">
        <v>0</v>
      </c>
      <c r="BP231" s="251">
        <f>AX231-BJ231</f>
        <v>0</v>
      </c>
      <c r="BQ231" s="373">
        <f t="shared" si="596"/>
        <v>0</v>
      </c>
      <c r="BR231" s="251">
        <f>BT231+BV231</f>
        <v>93.903340000000071</v>
      </c>
      <c r="BS231" s="533">
        <f t="shared" si="603"/>
        <v>7.530998298969202E-2</v>
      </c>
      <c r="BT231" s="251">
        <v>0</v>
      </c>
      <c r="BU231" s="533">
        <v>0</v>
      </c>
      <c r="BV231" s="251">
        <f t="shared" ref="BV231:BV232" si="641">M231-BJ231</f>
        <v>93.903340000000071</v>
      </c>
      <c r="BW231" s="533">
        <f t="shared" si="597"/>
        <v>7.530998298969202E-2</v>
      </c>
      <c r="BX231" s="303"/>
      <c r="BY231" s="271">
        <f t="shared" si="630"/>
        <v>-6.1438909094700342</v>
      </c>
      <c r="BZ231" s="176"/>
      <c r="CA231" s="631"/>
      <c r="CB231" s="176"/>
      <c r="CC231" s="631"/>
      <c r="CD231" s="176"/>
      <c r="CE231" s="631"/>
      <c r="CF231" s="176"/>
      <c r="CG231" s="393"/>
      <c r="CH231" s="176"/>
      <c r="CI231" s="393"/>
      <c r="CJ231" s="176"/>
      <c r="CK231" s="394"/>
    </row>
    <row r="232" spans="2:99" s="424" customFormat="1" ht="27" customHeight="1">
      <c r="B232" s="805"/>
      <c r="C232" s="713" t="s">
        <v>377</v>
      </c>
      <c r="D232" s="791"/>
      <c r="E232" s="249"/>
      <c r="F232" s="249"/>
      <c r="G232" s="249"/>
      <c r="H232" s="249"/>
      <c r="I232" s="249"/>
      <c r="J232" s="249"/>
      <c r="K232" s="251">
        <f t="shared" si="639"/>
        <v>375.33699999999999</v>
      </c>
      <c r="L232" s="251"/>
      <c r="M232" s="251">
        <v>375.33699999999999</v>
      </c>
      <c r="N232" s="251">
        <f t="shared" si="618"/>
        <v>0</v>
      </c>
      <c r="O232" s="251"/>
      <c r="P232" s="251">
        <f t="shared" si="619"/>
        <v>0</v>
      </c>
      <c r="Q232" s="249">
        <f t="shared" si="620"/>
        <v>375.33699999999999</v>
      </c>
      <c r="R232" s="249"/>
      <c r="S232" s="249">
        <f t="shared" si="632"/>
        <v>375.33699999999999</v>
      </c>
      <c r="T232" s="251">
        <f t="shared" si="621"/>
        <v>3389.4580900000001</v>
      </c>
      <c r="U232" s="253">
        <f t="shared" si="585"/>
        <v>9.0304395516562455</v>
      </c>
      <c r="V232" s="251">
        <v>0</v>
      </c>
      <c r="W232" s="255">
        <v>0</v>
      </c>
      <c r="X232" s="251">
        <v>3389.4580900000001</v>
      </c>
      <c r="Y232" s="253">
        <f t="shared" si="586"/>
        <v>9.0304395516562455</v>
      </c>
      <c r="Z232" s="251">
        <f t="shared" si="622"/>
        <v>-3014.1210900000001</v>
      </c>
      <c r="AA232" s="253">
        <f t="shared" si="587"/>
        <v>-8.0304395516562455</v>
      </c>
      <c r="AB232" s="251">
        <v>0</v>
      </c>
      <c r="AC232" s="253">
        <v>0</v>
      </c>
      <c r="AD232" s="251">
        <f t="shared" si="607"/>
        <v>-3014.1210900000001</v>
      </c>
      <c r="AE232" s="251"/>
      <c r="AF232" s="251"/>
      <c r="AG232" s="251"/>
      <c r="AH232" s="251"/>
      <c r="AI232" s="251"/>
      <c r="AJ232" s="251"/>
      <c r="AK232" s="251">
        <f t="shared" si="623"/>
        <v>347.03026</v>
      </c>
      <c r="AL232" s="257"/>
      <c r="AM232" s="368">
        <f t="shared" si="600"/>
        <v>0.92458313462301878</v>
      </c>
      <c r="AN232" s="808">
        <v>0</v>
      </c>
      <c r="AO232" s="257"/>
      <c r="AP232" s="368">
        <f t="shared" si="594"/>
        <v>0</v>
      </c>
      <c r="AQ232" s="251">
        <f t="shared" si="624"/>
        <v>347.03026</v>
      </c>
      <c r="AR232" s="257"/>
      <c r="AS232" s="368">
        <f t="shared" si="635"/>
        <v>0.92458313462301878</v>
      </c>
      <c r="AT232" s="251">
        <f t="shared" si="640"/>
        <v>347.03026</v>
      </c>
      <c r="AU232" s="769">
        <f t="shared" si="637"/>
        <v>0.92458313462301878</v>
      </c>
      <c r="AV232" s="251">
        <v>0</v>
      </c>
      <c r="AW232" s="792">
        <v>0</v>
      </c>
      <c r="AX232" s="251">
        <v>347.03026</v>
      </c>
      <c r="AY232" s="793">
        <f t="shared" si="638"/>
        <v>0.92458313462301878</v>
      </c>
      <c r="AZ232" s="251">
        <f t="shared" si="626"/>
        <v>28.306739999999991</v>
      </c>
      <c r="BA232" s="498">
        <f t="shared" si="590"/>
        <v>7.5416865376981196E-2</v>
      </c>
      <c r="BB232" s="387">
        <v>0</v>
      </c>
      <c r="BC232" s="498">
        <v>0</v>
      </c>
      <c r="BD232" s="251">
        <f>S232-AX232</f>
        <v>28.306739999999991</v>
      </c>
      <c r="BE232" s="375">
        <f t="shared" si="591"/>
        <v>7.5416865376981196E-2</v>
      </c>
      <c r="BF232" s="251">
        <f t="shared" si="633"/>
        <v>347.03026</v>
      </c>
      <c r="BG232" s="373">
        <f t="shared" si="601"/>
        <v>1</v>
      </c>
      <c r="BH232" s="794">
        <v>0</v>
      </c>
      <c r="BI232" s="373">
        <v>0</v>
      </c>
      <c r="BJ232" s="251">
        <f>'[1]тыс. руб 1 знак'!$AX$226</f>
        <v>347.03026</v>
      </c>
      <c r="BK232" s="373">
        <f t="shared" si="602"/>
        <v>1</v>
      </c>
      <c r="BL232" s="251">
        <f t="shared" si="617"/>
        <v>0</v>
      </c>
      <c r="BM232" s="373">
        <f t="shared" si="595"/>
        <v>0</v>
      </c>
      <c r="BN232" s="251">
        <v>0</v>
      </c>
      <c r="BO232" s="795">
        <v>0</v>
      </c>
      <c r="BP232" s="251">
        <f>AX232-BJ232</f>
        <v>0</v>
      </c>
      <c r="BQ232" s="373">
        <f t="shared" si="596"/>
        <v>0</v>
      </c>
      <c r="BR232" s="251"/>
      <c r="BS232" s="533">
        <f t="shared" si="603"/>
        <v>0</v>
      </c>
      <c r="BT232" s="251">
        <v>0</v>
      </c>
      <c r="BU232" s="533">
        <v>0</v>
      </c>
      <c r="BV232" s="251">
        <f t="shared" si="641"/>
        <v>28.306739999999991</v>
      </c>
      <c r="BW232" s="533">
        <f t="shared" si="597"/>
        <v>7.5416865376981196E-2</v>
      </c>
      <c r="BX232" s="303"/>
      <c r="BY232" s="271">
        <f t="shared" si="630"/>
        <v>-8.0304395516562455</v>
      </c>
      <c r="BZ232" s="176"/>
      <c r="CA232" s="631"/>
      <c r="CB232" s="176"/>
      <c r="CC232" s="631"/>
      <c r="CD232" s="176"/>
      <c r="CE232" s="631"/>
      <c r="CF232" s="176"/>
      <c r="CG232" s="393"/>
      <c r="CH232" s="176"/>
      <c r="CI232" s="393"/>
      <c r="CJ232" s="176"/>
      <c r="CK232" s="394"/>
    </row>
    <row r="233" spans="2:99" s="580" customFormat="1" ht="45" customHeight="1">
      <c r="B233" s="801" t="s">
        <v>374</v>
      </c>
      <c r="C233" s="807" t="s">
        <v>380</v>
      </c>
      <c r="D233" s="803"/>
      <c r="E233" s="502"/>
      <c r="F233" s="502"/>
      <c r="G233" s="502"/>
      <c r="H233" s="502"/>
      <c r="I233" s="502"/>
      <c r="J233" s="502"/>
      <c r="K233" s="251">
        <f>SUM(K234:K235)</f>
        <v>40318.400000000001</v>
      </c>
      <c r="L233" s="251">
        <f t="shared" ref="L233:M233" si="642">SUM(L234:L235)</f>
        <v>0</v>
      </c>
      <c r="M233" s="251">
        <f t="shared" si="642"/>
        <v>40318.400000000001</v>
      </c>
      <c r="N233" s="251">
        <f t="shared" si="618"/>
        <v>0</v>
      </c>
      <c r="O233" s="251"/>
      <c r="P233" s="251">
        <f t="shared" si="619"/>
        <v>0</v>
      </c>
      <c r="Q233" s="249">
        <f>S233</f>
        <v>40318.400000000001</v>
      </c>
      <c r="R233" s="249"/>
      <c r="S233" s="249">
        <f>S234+S235</f>
        <v>40318.400000000001</v>
      </c>
      <c r="T233" s="251">
        <f t="shared" si="621"/>
        <v>5720.1060600000001</v>
      </c>
      <c r="U233" s="253">
        <f t="shared" si="585"/>
        <v>0.14187333971586175</v>
      </c>
      <c r="V233" s="251">
        <v>0</v>
      </c>
      <c r="W233" s="255">
        <v>0</v>
      </c>
      <c r="X233" s="251">
        <f>X234+X235</f>
        <v>5720.1060600000001</v>
      </c>
      <c r="Y233" s="253">
        <f t="shared" si="586"/>
        <v>0.14187333971586175</v>
      </c>
      <c r="Z233" s="251">
        <f t="shared" si="622"/>
        <v>34598.293940000003</v>
      </c>
      <c r="AA233" s="253">
        <f t="shared" si="587"/>
        <v>0.85812666028413831</v>
      </c>
      <c r="AB233" s="251">
        <v>0</v>
      </c>
      <c r="AC233" s="253">
        <v>0</v>
      </c>
      <c r="AD233" s="251">
        <f t="shared" si="607"/>
        <v>34598.293940000003</v>
      </c>
      <c r="AE233" s="251"/>
      <c r="AF233" s="251"/>
      <c r="AG233" s="251"/>
      <c r="AH233" s="251"/>
      <c r="AI233" s="251"/>
      <c r="AJ233" s="251"/>
      <c r="AK233" s="251">
        <f t="shared" si="623"/>
        <v>29326.42109</v>
      </c>
      <c r="AL233" s="257"/>
      <c r="AM233" s="368">
        <f t="shared" si="600"/>
        <v>0.72737065682169921</v>
      </c>
      <c r="AN233" s="808">
        <v>0</v>
      </c>
      <c r="AO233" s="257"/>
      <c r="AP233" s="368">
        <f t="shared" si="594"/>
        <v>0</v>
      </c>
      <c r="AQ233" s="251">
        <f t="shared" si="624"/>
        <v>29326.42109</v>
      </c>
      <c r="AR233" s="257"/>
      <c r="AS233" s="368">
        <f t="shared" si="635"/>
        <v>0.72737065682169921</v>
      </c>
      <c r="AT233" s="251">
        <f>AX233</f>
        <v>29326.42109</v>
      </c>
      <c r="AU233" s="769">
        <f t="shared" si="637"/>
        <v>0.72737065682169921</v>
      </c>
      <c r="AV233" s="251">
        <v>0</v>
      </c>
      <c r="AW233" s="792">
        <v>0</v>
      </c>
      <c r="AX233" s="251">
        <f>AX234+AX235</f>
        <v>29326.42109</v>
      </c>
      <c r="AY233" s="793">
        <f t="shared" si="638"/>
        <v>0.72737065682169921</v>
      </c>
      <c r="AZ233" s="251">
        <f t="shared" si="626"/>
        <v>10991.978910000002</v>
      </c>
      <c r="BA233" s="498">
        <f t="shared" si="590"/>
        <v>0.27262934317830073</v>
      </c>
      <c r="BB233" s="387">
        <v>0</v>
      </c>
      <c r="BC233" s="498">
        <v>0</v>
      </c>
      <c r="BD233" s="251">
        <f>BD234+BD235</f>
        <v>10991.978910000002</v>
      </c>
      <c r="BE233" s="375">
        <f t="shared" si="591"/>
        <v>0.27262934317830073</v>
      </c>
      <c r="BF233" s="387">
        <f t="shared" si="633"/>
        <v>29326.42109</v>
      </c>
      <c r="BG233" s="373">
        <f t="shared" si="601"/>
        <v>1</v>
      </c>
      <c r="BH233" s="794">
        <v>0</v>
      </c>
      <c r="BI233" s="373">
        <v>0</v>
      </c>
      <c r="BJ233" s="251">
        <f>BJ234+BJ235</f>
        <v>29326.42109</v>
      </c>
      <c r="BK233" s="373">
        <f t="shared" si="602"/>
        <v>1</v>
      </c>
      <c r="BL233" s="251">
        <f t="shared" si="617"/>
        <v>-9.0949470177292824E-13</v>
      </c>
      <c r="BM233" s="373">
        <f t="shared" si="595"/>
        <v>-3.1012809199655674E-17</v>
      </c>
      <c r="BN233" s="251">
        <v>0</v>
      </c>
      <c r="BO233" s="795">
        <v>0</v>
      </c>
      <c r="BP233" s="387">
        <f>BP234+BP235</f>
        <v>-9.0949470177292824E-13</v>
      </c>
      <c r="BQ233" s="373">
        <f t="shared" si="596"/>
        <v>-3.1012809199655674E-17</v>
      </c>
      <c r="BR233" s="503">
        <f>BV233</f>
        <v>10991.978910000002</v>
      </c>
      <c r="BS233" s="533">
        <f t="shared" si="603"/>
        <v>0.27262934317830073</v>
      </c>
      <c r="BT233" s="251">
        <v>0</v>
      </c>
      <c r="BU233" s="533">
        <v>0</v>
      </c>
      <c r="BV233" s="503">
        <f>BV234+BV235</f>
        <v>10991.978910000002</v>
      </c>
      <c r="BW233" s="533">
        <f t="shared" si="597"/>
        <v>0.27262934317830073</v>
      </c>
      <c r="BX233" s="609" t="s">
        <v>381</v>
      </c>
      <c r="BY233" s="265">
        <f t="shared" si="630"/>
        <v>0.85812666028413831</v>
      </c>
      <c r="BZ233" s="161"/>
      <c r="CA233" s="630"/>
      <c r="CB233" s="161"/>
      <c r="CC233" s="630"/>
      <c r="CD233" s="161"/>
      <c r="CE233" s="630"/>
      <c r="CF233" s="152" t="s">
        <v>382</v>
      </c>
      <c r="CG233" s="152" t="s">
        <v>382</v>
      </c>
      <c r="CH233" s="161"/>
      <c r="CI233" s="589"/>
      <c r="CJ233" s="161"/>
      <c r="CK233" s="590"/>
    </row>
    <row r="234" spans="2:99" s="424" customFormat="1" ht="27.75" customHeight="1">
      <c r="B234" s="805"/>
      <c r="C234" s="713" t="s">
        <v>365</v>
      </c>
      <c r="D234" s="791"/>
      <c r="E234" s="249"/>
      <c r="F234" s="249"/>
      <c r="G234" s="249"/>
      <c r="H234" s="249"/>
      <c r="I234" s="249"/>
      <c r="J234" s="249"/>
      <c r="K234" s="251">
        <f t="shared" ref="K234:K235" si="643">L234+M234</f>
        <v>30990.703000000001</v>
      </c>
      <c r="L234" s="251"/>
      <c r="M234" s="251">
        <v>30990.703000000001</v>
      </c>
      <c r="N234" s="251">
        <f t="shared" si="618"/>
        <v>0</v>
      </c>
      <c r="O234" s="251"/>
      <c r="P234" s="251">
        <f t="shared" si="619"/>
        <v>0</v>
      </c>
      <c r="Q234" s="249">
        <f t="shared" si="620"/>
        <v>30990.703000000001</v>
      </c>
      <c r="R234" s="249"/>
      <c r="S234" s="249">
        <v>30990.703000000001</v>
      </c>
      <c r="T234" s="251">
        <f t="shared" si="621"/>
        <v>4445.9042099999997</v>
      </c>
      <c r="U234" s="253">
        <f t="shared" si="585"/>
        <v>0.14345928874217534</v>
      </c>
      <c r="V234" s="251">
        <v>0</v>
      </c>
      <c r="W234" s="255">
        <v>0</v>
      </c>
      <c r="X234" s="251">
        <f>2548.47552+1897.42869</f>
        <v>4445.9042099999997</v>
      </c>
      <c r="Y234" s="253">
        <f t="shared" si="586"/>
        <v>0.14345928874217534</v>
      </c>
      <c r="Z234" s="251">
        <f t="shared" si="622"/>
        <v>26544.798790000001</v>
      </c>
      <c r="AA234" s="253">
        <f t="shared" si="587"/>
        <v>0.85654071125782461</v>
      </c>
      <c r="AB234" s="251">
        <v>0</v>
      </c>
      <c r="AC234" s="253">
        <v>0</v>
      </c>
      <c r="AD234" s="251">
        <f t="shared" si="607"/>
        <v>26544.798790000001</v>
      </c>
      <c r="AE234" s="251"/>
      <c r="AF234" s="251"/>
      <c r="AG234" s="251"/>
      <c r="AH234" s="251"/>
      <c r="AI234" s="251"/>
      <c r="AJ234" s="251"/>
      <c r="AK234" s="251">
        <f t="shared" si="623"/>
        <v>22541.731749999999</v>
      </c>
      <c r="AL234" s="257"/>
      <c r="AM234" s="368">
        <f t="shared" si="600"/>
        <v>0.7273707779394355</v>
      </c>
      <c r="AN234" s="808">
        <v>0</v>
      </c>
      <c r="AO234" s="257"/>
      <c r="AP234" s="368">
        <f t="shared" si="594"/>
        <v>0</v>
      </c>
      <c r="AQ234" s="251">
        <f t="shared" si="624"/>
        <v>22541.731749999999</v>
      </c>
      <c r="AR234" s="257"/>
      <c r="AS234" s="368">
        <f t="shared" si="635"/>
        <v>0.7273707779394355</v>
      </c>
      <c r="AT234" s="251">
        <f t="shared" ref="AT234:AT235" si="644">AV234+AX234</f>
        <v>22541.731749999999</v>
      </c>
      <c r="AU234" s="769">
        <f t="shared" si="637"/>
        <v>0.7273707779394355</v>
      </c>
      <c r="AV234" s="251">
        <v>0</v>
      </c>
      <c r="AW234" s="792">
        <v>0</v>
      </c>
      <c r="AX234" s="251">
        <v>22541.731749999999</v>
      </c>
      <c r="AY234" s="793">
        <f t="shared" si="638"/>
        <v>0.7273707779394355</v>
      </c>
      <c r="AZ234" s="251">
        <f t="shared" si="626"/>
        <v>8448.9712500000023</v>
      </c>
      <c r="BA234" s="498">
        <f t="shared" si="590"/>
        <v>0.2726292220605645</v>
      </c>
      <c r="BB234" s="387">
        <v>0</v>
      </c>
      <c r="BC234" s="498">
        <v>0</v>
      </c>
      <c r="BD234" s="251">
        <f>S234-AX234</f>
        <v>8448.9712500000023</v>
      </c>
      <c r="BE234" s="375">
        <f t="shared" si="591"/>
        <v>0.2726292220605645</v>
      </c>
      <c r="BF234" s="251">
        <f t="shared" si="633"/>
        <v>22541.731739999999</v>
      </c>
      <c r="BG234" s="373">
        <f t="shared" si="601"/>
        <v>0.99999999955637842</v>
      </c>
      <c r="BH234" s="794">
        <v>0</v>
      </c>
      <c r="BI234" s="373">
        <v>0</v>
      </c>
      <c r="BJ234" s="251">
        <f>'[1]тыс. руб 1 знак'!$AX$228+5398.7594+8091.94471+1520.56167</f>
        <v>22541.731739999999</v>
      </c>
      <c r="BK234" s="373">
        <f t="shared" si="602"/>
        <v>0.99999999955637842</v>
      </c>
      <c r="BL234" s="251">
        <f t="shared" si="617"/>
        <v>9.9999997473787516E-6</v>
      </c>
      <c r="BM234" s="373">
        <f t="shared" si="595"/>
        <v>4.4362162846600073E-10</v>
      </c>
      <c r="BN234" s="251">
        <v>0</v>
      </c>
      <c r="BO234" s="795">
        <v>0</v>
      </c>
      <c r="BP234" s="251">
        <f>AX234-BJ234</f>
        <v>9.9999997473787516E-6</v>
      </c>
      <c r="BQ234" s="373">
        <f t="shared" si="596"/>
        <v>4.4362162846600073E-10</v>
      </c>
      <c r="BR234" s="251">
        <f>BT234+BV234</f>
        <v>8448.9712600000021</v>
      </c>
      <c r="BS234" s="533">
        <f t="shared" si="603"/>
        <v>0.27262922238324189</v>
      </c>
      <c r="BT234" s="251">
        <v>0</v>
      </c>
      <c r="BU234" s="533">
        <v>0</v>
      </c>
      <c r="BV234" s="251">
        <f t="shared" ref="BV234:BV235" si="645">M234-BJ234</f>
        <v>8448.9712600000021</v>
      </c>
      <c r="BW234" s="533">
        <f t="shared" si="597"/>
        <v>0.27262922238324189</v>
      </c>
      <c r="BX234" s="303"/>
      <c r="BY234" s="271">
        <f t="shared" si="630"/>
        <v>0.85654071125782461</v>
      </c>
      <c r="BZ234" s="176"/>
      <c r="CA234" s="631"/>
      <c r="CB234" s="176"/>
      <c r="CC234" s="631"/>
      <c r="CD234" s="176"/>
      <c r="CE234" s="631"/>
      <c r="CF234" s="176"/>
      <c r="CG234" s="393"/>
      <c r="CH234" s="176"/>
      <c r="CI234" s="393"/>
      <c r="CJ234" s="176"/>
      <c r="CK234" s="394"/>
    </row>
    <row r="235" spans="2:99" s="424" customFormat="1" ht="35.25" customHeight="1">
      <c r="B235" s="805"/>
      <c r="C235" s="713" t="s">
        <v>377</v>
      </c>
      <c r="D235" s="791"/>
      <c r="E235" s="249"/>
      <c r="F235" s="249"/>
      <c r="G235" s="249"/>
      <c r="H235" s="249"/>
      <c r="I235" s="249"/>
      <c r="J235" s="249"/>
      <c r="K235" s="251">
        <f t="shared" si="643"/>
        <v>9327.6970000000001</v>
      </c>
      <c r="L235" s="251"/>
      <c r="M235" s="251">
        <v>9327.6970000000001</v>
      </c>
      <c r="N235" s="251">
        <f t="shared" si="618"/>
        <v>0</v>
      </c>
      <c r="O235" s="251"/>
      <c r="P235" s="251">
        <f t="shared" si="619"/>
        <v>0</v>
      </c>
      <c r="Q235" s="249">
        <f t="shared" si="620"/>
        <v>9327.6970000000001</v>
      </c>
      <c r="R235" s="249"/>
      <c r="S235" s="249">
        <f t="shared" si="632"/>
        <v>9327.6970000000001</v>
      </c>
      <c r="T235" s="251">
        <f t="shared" si="621"/>
        <v>1274.2018499999999</v>
      </c>
      <c r="U235" s="253">
        <f t="shared" si="585"/>
        <v>0.13660412103866582</v>
      </c>
      <c r="V235" s="251">
        <v>0</v>
      </c>
      <c r="W235" s="255">
        <v>0</v>
      </c>
      <c r="X235" s="251">
        <f>730.39635+543.8055</f>
        <v>1274.2018499999999</v>
      </c>
      <c r="Y235" s="253">
        <f t="shared" si="586"/>
        <v>0.13660412103866582</v>
      </c>
      <c r="Z235" s="251">
        <f t="shared" si="622"/>
        <v>8053.4951500000006</v>
      </c>
      <c r="AA235" s="253">
        <f t="shared" si="587"/>
        <v>0.8633958789613343</v>
      </c>
      <c r="AB235" s="251">
        <v>0</v>
      </c>
      <c r="AC235" s="253">
        <v>0</v>
      </c>
      <c r="AD235" s="251">
        <f t="shared" si="607"/>
        <v>8053.4951500000006</v>
      </c>
      <c r="AE235" s="251"/>
      <c r="AF235" s="251"/>
      <c r="AG235" s="251"/>
      <c r="AH235" s="251"/>
      <c r="AI235" s="251"/>
      <c r="AJ235" s="251"/>
      <c r="AK235" s="251">
        <f t="shared" si="623"/>
        <v>6784.6893399999999</v>
      </c>
      <c r="AL235" s="257"/>
      <c r="AM235" s="368">
        <f t="shared" si="600"/>
        <v>0.72737025441542535</v>
      </c>
      <c r="AN235" s="808">
        <v>0</v>
      </c>
      <c r="AO235" s="257"/>
      <c r="AP235" s="368">
        <f t="shared" si="594"/>
        <v>0</v>
      </c>
      <c r="AQ235" s="251">
        <f t="shared" si="624"/>
        <v>6784.6893399999999</v>
      </c>
      <c r="AR235" s="257"/>
      <c r="AS235" s="368">
        <f t="shared" si="635"/>
        <v>0.72737025441542535</v>
      </c>
      <c r="AT235" s="251">
        <f t="shared" si="644"/>
        <v>6784.6893399999999</v>
      </c>
      <c r="AU235" s="769">
        <f t="shared" si="637"/>
        <v>0.72737025441542535</v>
      </c>
      <c r="AV235" s="251">
        <v>0</v>
      </c>
      <c r="AW235" s="792">
        <v>0</v>
      </c>
      <c r="AX235" s="251">
        <v>6784.6893399999999</v>
      </c>
      <c r="AY235" s="793">
        <f t="shared" si="638"/>
        <v>0.72737025441542535</v>
      </c>
      <c r="AZ235" s="251">
        <f t="shared" si="626"/>
        <v>2543.0076600000002</v>
      </c>
      <c r="BA235" s="498">
        <f t="shared" si="590"/>
        <v>0.27262974558457465</v>
      </c>
      <c r="BB235" s="387">
        <v>0</v>
      </c>
      <c r="BC235" s="498">
        <v>0</v>
      </c>
      <c r="BD235" s="251">
        <f>S235-AX235</f>
        <v>2543.0076600000002</v>
      </c>
      <c r="BE235" s="375">
        <f t="shared" si="591"/>
        <v>0.27262974558457465</v>
      </c>
      <c r="BF235" s="251">
        <f t="shared" si="633"/>
        <v>6784.6893500000006</v>
      </c>
      <c r="BG235" s="373">
        <f t="shared" si="601"/>
        <v>1.000000001473907</v>
      </c>
      <c r="BH235" s="794">
        <v>0</v>
      </c>
      <c r="BI235" s="373">
        <v>0</v>
      </c>
      <c r="BJ235" s="251">
        <f>6327.02537+457.66398</f>
        <v>6784.6893500000006</v>
      </c>
      <c r="BK235" s="373">
        <f t="shared" si="602"/>
        <v>1.000000001473907</v>
      </c>
      <c r="BL235" s="251">
        <f t="shared" si="617"/>
        <v>-1.0000000656873453E-5</v>
      </c>
      <c r="BM235" s="373">
        <f t="shared" si="595"/>
        <v>-1.4739069330584049E-9</v>
      </c>
      <c r="BN235" s="251">
        <v>0</v>
      </c>
      <c r="BO235" s="795">
        <v>0</v>
      </c>
      <c r="BP235" s="251">
        <f>AX235-BJ235</f>
        <v>-1.0000000656873453E-5</v>
      </c>
      <c r="BQ235" s="373">
        <f t="shared" si="596"/>
        <v>-1.4739069330584049E-9</v>
      </c>
      <c r="BR235" s="251">
        <f>BV235</f>
        <v>2543.0076499999996</v>
      </c>
      <c r="BS235" s="533">
        <f t="shared" si="603"/>
        <v>0.27262974451249861</v>
      </c>
      <c r="BT235" s="251">
        <v>0</v>
      </c>
      <c r="BU235" s="533">
        <v>0</v>
      </c>
      <c r="BV235" s="251">
        <f t="shared" si="645"/>
        <v>2543.0076499999996</v>
      </c>
      <c r="BW235" s="533">
        <f t="shared" si="597"/>
        <v>0.27262974451249861</v>
      </c>
      <c r="BX235" s="303"/>
      <c r="BY235" s="271">
        <f t="shared" si="630"/>
        <v>0.8633958789613343</v>
      </c>
      <c r="BZ235" s="176"/>
      <c r="CA235" s="631"/>
      <c r="CB235" s="176"/>
      <c r="CC235" s="631"/>
      <c r="CD235" s="176"/>
      <c r="CE235" s="631"/>
      <c r="CF235" s="176"/>
      <c r="CG235" s="393"/>
      <c r="CH235" s="176"/>
      <c r="CI235" s="393"/>
      <c r="CJ235" s="176"/>
      <c r="CK235" s="394"/>
      <c r="CU235" s="1151"/>
    </row>
    <row r="236" spans="2:99" s="624" customFormat="1" ht="52.5" hidden="1" customHeight="1">
      <c r="B236" s="1183" t="s">
        <v>383</v>
      </c>
      <c r="C236" s="1184"/>
      <c r="D236" s="1184"/>
      <c r="E236" s="502"/>
      <c r="F236" s="502"/>
      <c r="G236" s="502"/>
      <c r="H236" s="502"/>
      <c r="I236" s="502"/>
      <c r="J236" s="502"/>
      <c r="K236" s="503">
        <f t="shared" ref="K236:S236" si="646">K237+K240</f>
        <v>164371.22499999998</v>
      </c>
      <c r="L236" s="503">
        <f t="shared" si="646"/>
        <v>0</v>
      </c>
      <c r="M236" s="503">
        <f t="shared" si="646"/>
        <v>164371.22499999998</v>
      </c>
      <c r="N236" s="503">
        <f t="shared" si="646"/>
        <v>0</v>
      </c>
      <c r="O236" s="503">
        <f t="shared" si="646"/>
        <v>0</v>
      </c>
      <c r="P236" s="503">
        <f t="shared" si="646"/>
        <v>0</v>
      </c>
      <c r="Q236" s="502">
        <f t="shared" si="646"/>
        <v>164371.22499999998</v>
      </c>
      <c r="R236" s="502">
        <f t="shared" si="646"/>
        <v>0</v>
      </c>
      <c r="S236" s="502">
        <f t="shared" si="646"/>
        <v>164371.22499999998</v>
      </c>
      <c r="T236" s="503">
        <f>V236+X236</f>
        <v>0</v>
      </c>
      <c r="U236" s="254">
        <f t="shared" si="585"/>
        <v>0</v>
      </c>
      <c r="V236" s="503">
        <v>0</v>
      </c>
      <c r="W236" s="812">
        <v>0</v>
      </c>
      <c r="X236" s="503">
        <f>X237+X240</f>
        <v>0</v>
      </c>
      <c r="Y236" s="254">
        <f t="shared" si="586"/>
        <v>0</v>
      </c>
      <c r="Z236" s="503">
        <f t="shared" si="622"/>
        <v>164371.22499999998</v>
      </c>
      <c r="AA236" s="254">
        <f t="shared" si="587"/>
        <v>1</v>
      </c>
      <c r="AB236" s="503">
        <v>0</v>
      </c>
      <c r="AC236" s="254">
        <v>0</v>
      </c>
      <c r="AD236" s="503">
        <f t="shared" si="607"/>
        <v>164371.22499999998</v>
      </c>
      <c r="AE236" s="503"/>
      <c r="AF236" s="503"/>
      <c r="AG236" s="503"/>
      <c r="AH236" s="503"/>
      <c r="AI236" s="503"/>
      <c r="AJ236" s="503"/>
      <c r="AK236" s="503">
        <f t="shared" si="623"/>
        <v>93871</v>
      </c>
      <c r="AL236" s="254"/>
      <c r="AM236" s="798">
        <f t="shared" si="600"/>
        <v>0.57109144255632338</v>
      </c>
      <c r="AN236" s="817">
        <v>0</v>
      </c>
      <c r="AO236" s="254"/>
      <c r="AP236" s="798">
        <v>0</v>
      </c>
      <c r="AQ236" s="503">
        <f>AQ237+AQ240</f>
        <v>93871</v>
      </c>
      <c r="AR236" s="254"/>
      <c r="AS236" s="798">
        <f t="shared" si="635"/>
        <v>0.57109144255632338</v>
      </c>
      <c r="AT236" s="251">
        <f>AX236</f>
        <v>187742</v>
      </c>
      <c r="AU236" s="769">
        <f t="shared" si="637"/>
        <v>1.1421828851126468</v>
      </c>
      <c r="AV236" s="251">
        <v>0</v>
      </c>
      <c r="AW236" s="800">
        <v>0</v>
      </c>
      <c r="AX236" s="503">
        <f>AX237+AX240+AX241</f>
        <v>187742</v>
      </c>
      <c r="AY236" s="800">
        <f t="shared" si="638"/>
        <v>1.1421828851126468</v>
      </c>
      <c r="AZ236" s="503">
        <f t="shared" si="626"/>
        <v>-23370.775000000023</v>
      </c>
      <c r="BA236" s="498">
        <f t="shared" si="590"/>
        <v>-0.14218288511264685</v>
      </c>
      <c r="BB236" s="387">
        <v>0</v>
      </c>
      <c r="BC236" s="800">
        <v>0</v>
      </c>
      <c r="BD236" s="503">
        <f>M236-AX236</f>
        <v>-23370.775000000023</v>
      </c>
      <c r="BE236" s="375">
        <f t="shared" si="591"/>
        <v>-0.14218288511264685</v>
      </c>
      <c r="BF236" s="503">
        <f t="shared" si="633"/>
        <v>93871</v>
      </c>
      <c r="BG236" s="373">
        <f t="shared" si="601"/>
        <v>0.5</v>
      </c>
      <c r="BH236" s="794">
        <v>0</v>
      </c>
      <c r="BI236" s="373">
        <v>0</v>
      </c>
      <c r="BJ236" s="503">
        <f>BJ237+BJ240</f>
        <v>93871</v>
      </c>
      <c r="BK236" s="373">
        <f t="shared" si="602"/>
        <v>0.5</v>
      </c>
      <c r="BL236" s="251">
        <f t="shared" si="617"/>
        <v>0</v>
      </c>
      <c r="BM236" s="373">
        <f t="shared" si="595"/>
        <v>0</v>
      </c>
      <c r="BN236" s="251">
        <v>0</v>
      </c>
      <c r="BO236" s="795">
        <v>0</v>
      </c>
      <c r="BP236" s="251">
        <v>0</v>
      </c>
      <c r="BQ236" s="373">
        <f t="shared" si="596"/>
        <v>0</v>
      </c>
      <c r="BR236" s="503">
        <f t="shared" ref="BR236" si="647">BT236+BV236</f>
        <v>70500.224999999991</v>
      </c>
      <c r="BS236" s="533">
        <f t="shared" si="603"/>
        <v>0.42890855744367667</v>
      </c>
      <c r="BT236" s="251">
        <v>0</v>
      </c>
      <c r="BU236" s="533">
        <v>0</v>
      </c>
      <c r="BV236" s="503">
        <f>BV237+BV240</f>
        <v>70500.224999999991</v>
      </c>
      <c r="BW236" s="533">
        <f t="shared" si="597"/>
        <v>0.42890855744367667</v>
      </c>
      <c r="BX236" s="505"/>
      <c r="BY236" s="265">
        <f t="shared" si="630"/>
        <v>1</v>
      </c>
      <c r="BZ236" s="161"/>
      <c r="CA236" s="162"/>
      <c r="CB236" s="161"/>
      <c r="CC236" s="162"/>
      <c r="CD236" s="161"/>
      <c r="CE236" s="162"/>
      <c r="CF236" s="161"/>
      <c r="CG236" s="622"/>
      <c r="CH236" s="161"/>
      <c r="CI236" s="622"/>
      <c r="CJ236" s="161"/>
      <c r="CK236" s="623"/>
    </row>
    <row r="237" spans="2:99" s="580" customFormat="1" ht="57" customHeight="1">
      <c r="B237" s="801" t="s">
        <v>37</v>
      </c>
      <c r="C237" s="818" t="s">
        <v>384</v>
      </c>
      <c r="D237" s="816"/>
      <c r="E237" s="502"/>
      <c r="F237" s="502"/>
      <c r="G237" s="502"/>
      <c r="H237" s="502"/>
      <c r="I237" s="502"/>
      <c r="J237" s="502"/>
      <c r="K237" s="251">
        <f>SUM(K238:K239)</f>
        <v>70500.224999999991</v>
      </c>
      <c r="L237" s="251">
        <f t="shared" ref="L237:M237" si="648">SUM(L238:L239)</f>
        <v>0</v>
      </c>
      <c r="M237" s="251">
        <f t="shared" si="648"/>
        <v>70500.224999999991</v>
      </c>
      <c r="N237" s="251">
        <f t="shared" si="618"/>
        <v>0</v>
      </c>
      <c r="O237" s="251"/>
      <c r="P237" s="251">
        <f t="shared" si="619"/>
        <v>0</v>
      </c>
      <c r="Q237" s="249">
        <f>S237</f>
        <v>70500.224999999991</v>
      </c>
      <c r="R237" s="249"/>
      <c r="S237" s="249">
        <f>S238+S239</f>
        <v>70500.224999999991</v>
      </c>
      <c r="T237" s="251">
        <f>X237</f>
        <v>0</v>
      </c>
      <c r="U237" s="253">
        <f t="shared" si="585"/>
        <v>0</v>
      </c>
      <c r="V237" s="251">
        <v>0</v>
      </c>
      <c r="W237" s="255">
        <v>0</v>
      </c>
      <c r="X237" s="251">
        <f>X238+X239</f>
        <v>0</v>
      </c>
      <c r="Y237" s="253">
        <f t="shared" si="586"/>
        <v>0</v>
      </c>
      <c r="Z237" s="251">
        <f t="shared" si="622"/>
        <v>70500.224999999991</v>
      </c>
      <c r="AA237" s="253">
        <f t="shared" si="587"/>
        <v>1</v>
      </c>
      <c r="AB237" s="251">
        <v>0</v>
      </c>
      <c r="AC237" s="253">
        <v>0</v>
      </c>
      <c r="AD237" s="251">
        <f t="shared" si="607"/>
        <v>70500.224999999991</v>
      </c>
      <c r="AE237" s="251"/>
      <c r="AF237" s="251"/>
      <c r="AG237" s="251"/>
      <c r="AH237" s="251"/>
      <c r="AI237" s="251"/>
      <c r="AJ237" s="251"/>
      <c r="AK237" s="251">
        <f t="shared" si="623"/>
        <v>0</v>
      </c>
      <c r="AL237" s="257"/>
      <c r="AM237" s="368">
        <f t="shared" si="600"/>
        <v>0</v>
      </c>
      <c r="AN237" s="808">
        <v>0</v>
      </c>
      <c r="AO237" s="257"/>
      <c r="AP237" s="368">
        <v>0</v>
      </c>
      <c r="AQ237" s="251">
        <f t="shared" si="624"/>
        <v>0</v>
      </c>
      <c r="AR237" s="257"/>
      <c r="AS237" s="368">
        <f t="shared" si="635"/>
        <v>0</v>
      </c>
      <c r="AT237" s="251">
        <f>AV237+AX237</f>
        <v>0</v>
      </c>
      <c r="AU237" s="769">
        <f t="shared" si="637"/>
        <v>0</v>
      </c>
      <c r="AV237" s="251">
        <v>0</v>
      </c>
      <c r="AW237" s="792">
        <v>0</v>
      </c>
      <c r="AX237" s="251">
        <f>AX238+AX239</f>
        <v>0</v>
      </c>
      <c r="AY237" s="793">
        <f t="shared" si="638"/>
        <v>0</v>
      </c>
      <c r="AZ237" s="251">
        <f t="shared" si="626"/>
        <v>70500.224999999991</v>
      </c>
      <c r="BA237" s="498">
        <f t="shared" si="590"/>
        <v>1</v>
      </c>
      <c r="BB237" s="387">
        <v>0</v>
      </c>
      <c r="BC237" s="498">
        <v>0</v>
      </c>
      <c r="BD237" s="251">
        <f>M237-AX237</f>
        <v>70500.224999999991</v>
      </c>
      <c r="BE237" s="375">
        <f t="shared" si="591"/>
        <v>1</v>
      </c>
      <c r="BF237" s="387">
        <f t="shared" si="633"/>
        <v>0</v>
      </c>
      <c r="BG237" s="373">
        <v>0</v>
      </c>
      <c r="BH237" s="794">
        <v>0</v>
      </c>
      <c r="BI237" s="373">
        <v>0</v>
      </c>
      <c r="BJ237" s="251">
        <f>BJ238+BJ239</f>
        <v>0</v>
      </c>
      <c r="BK237" s="373">
        <v>0</v>
      </c>
      <c r="BL237" s="251">
        <f t="shared" si="617"/>
        <v>0</v>
      </c>
      <c r="BM237" s="373">
        <v>0</v>
      </c>
      <c r="BN237" s="251">
        <v>0</v>
      </c>
      <c r="BO237" s="795">
        <v>0</v>
      </c>
      <c r="BP237" s="251">
        <v>0</v>
      </c>
      <c r="BQ237" s="373">
        <v>0</v>
      </c>
      <c r="BR237" s="503">
        <f>BV237</f>
        <v>70500.224999999991</v>
      </c>
      <c r="BS237" s="533">
        <f t="shared" si="603"/>
        <v>1</v>
      </c>
      <c r="BT237" s="251">
        <v>0</v>
      </c>
      <c r="BU237" s="533">
        <v>0</v>
      </c>
      <c r="BV237" s="503">
        <f>BV238+BV239</f>
        <v>70500.224999999991</v>
      </c>
      <c r="BW237" s="533">
        <f t="shared" si="597"/>
        <v>1</v>
      </c>
      <c r="BX237" s="1185" t="s">
        <v>385</v>
      </c>
      <c r="BY237" s="265">
        <f t="shared" si="630"/>
        <v>1</v>
      </c>
      <c r="BZ237" s="161"/>
      <c r="CA237" s="630"/>
      <c r="CB237" s="161"/>
      <c r="CC237" s="630"/>
      <c r="CD237" s="161"/>
      <c r="CE237" s="630"/>
      <c r="CF237" s="152" t="s">
        <v>386</v>
      </c>
      <c r="CG237" s="152" t="s">
        <v>386</v>
      </c>
      <c r="CH237" s="161"/>
      <c r="CI237" s="589"/>
      <c r="CJ237" s="161"/>
      <c r="CK237" s="590"/>
    </row>
    <row r="238" spans="2:99" s="424" customFormat="1" ht="18.75" customHeight="1">
      <c r="B238" s="805"/>
      <c r="C238" s="713" t="s">
        <v>365</v>
      </c>
      <c r="D238" s="819"/>
      <c r="E238" s="249"/>
      <c r="F238" s="249"/>
      <c r="G238" s="249"/>
      <c r="H238" s="249"/>
      <c r="I238" s="249"/>
      <c r="J238" s="249"/>
      <c r="K238" s="251">
        <f t="shared" ref="K238:K239" si="649">L238+M238</f>
        <v>54189.983999999997</v>
      </c>
      <c r="L238" s="251"/>
      <c r="M238" s="251">
        <v>54189.983999999997</v>
      </c>
      <c r="N238" s="251">
        <f t="shared" si="618"/>
        <v>0</v>
      </c>
      <c r="O238" s="251"/>
      <c r="P238" s="251">
        <f t="shared" si="619"/>
        <v>0</v>
      </c>
      <c r="Q238" s="249">
        <f t="shared" si="620"/>
        <v>54189.983999999997</v>
      </c>
      <c r="R238" s="249"/>
      <c r="S238" s="249">
        <v>54189.983999999997</v>
      </c>
      <c r="T238" s="251">
        <f>X238</f>
        <v>0</v>
      </c>
      <c r="U238" s="253">
        <f t="shared" si="585"/>
        <v>0</v>
      </c>
      <c r="V238" s="251">
        <v>0</v>
      </c>
      <c r="W238" s="255">
        <v>0</v>
      </c>
      <c r="X238" s="251">
        <v>0</v>
      </c>
      <c r="Y238" s="253">
        <f t="shared" si="586"/>
        <v>0</v>
      </c>
      <c r="Z238" s="251">
        <f t="shared" si="622"/>
        <v>54189.983999999997</v>
      </c>
      <c r="AA238" s="253">
        <f t="shared" si="587"/>
        <v>1</v>
      </c>
      <c r="AB238" s="251">
        <v>0</v>
      </c>
      <c r="AC238" s="253">
        <v>0</v>
      </c>
      <c r="AD238" s="251">
        <f t="shared" si="607"/>
        <v>54189.983999999997</v>
      </c>
      <c r="AE238" s="251"/>
      <c r="AF238" s="251"/>
      <c r="AG238" s="251"/>
      <c r="AH238" s="251"/>
      <c r="AI238" s="251"/>
      <c r="AJ238" s="251"/>
      <c r="AK238" s="251">
        <f t="shared" si="623"/>
        <v>0</v>
      </c>
      <c r="AL238" s="257"/>
      <c r="AM238" s="368">
        <f t="shared" si="600"/>
        <v>0</v>
      </c>
      <c r="AN238" s="808">
        <v>0</v>
      </c>
      <c r="AO238" s="257"/>
      <c r="AP238" s="368">
        <v>0</v>
      </c>
      <c r="AQ238" s="251">
        <f t="shared" si="624"/>
        <v>0</v>
      </c>
      <c r="AR238" s="257"/>
      <c r="AS238" s="368">
        <f t="shared" si="635"/>
        <v>0</v>
      </c>
      <c r="AT238" s="251">
        <f>AV238+AX238</f>
        <v>0</v>
      </c>
      <c r="AU238" s="769">
        <f t="shared" si="637"/>
        <v>0</v>
      </c>
      <c r="AV238" s="251">
        <v>0</v>
      </c>
      <c r="AW238" s="792">
        <v>0</v>
      </c>
      <c r="AX238" s="251">
        <v>0</v>
      </c>
      <c r="AY238" s="793">
        <f t="shared" si="638"/>
        <v>0</v>
      </c>
      <c r="AZ238" s="251">
        <f t="shared" si="626"/>
        <v>54189.983999999997</v>
      </c>
      <c r="BA238" s="498">
        <f t="shared" si="590"/>
        <v>1</v>
      </c>
      <c r="BB238" s="387">
        <v>0</v>
      </c>
      <c r="BC238" s="498">
        <v>0</v>
      </c>
      <c r="BD238" s="251">
        <f>S238-AX238</f>
        <v>54189.983999999997</v>
      </c>
      <c r="BE238" s="375">
        <f t="shared" si="591"/>
        <v>1</v>
      </c>
      <c r="BF238" s="251">
        <f t="shared" si="633"/>
        <v>0</v>
      </c>
      <c r="BG238" s="373">
        <v>0</v>
      </c>
      <c r="BH238" s="794">
        <v>0</v>
      </c>
      <c r="BI238" s="373">
        <v>0</v>
      </c>
      <c r="BJ238" s="251">
        <v>0</v>
      </c>
      <c r="BK238" s="373">
        <v>0</v>
      </c>
      <c r="BL238" s="251">
        <f t="shared" si="617"/>
        <v>0</v>
      </c>
      <c r="BM238" s="373">
        <v>0</v>
      </c>
      <c r="BN238" s="251">
        <v>0</v>
      </c>
      <c r="BO238" s="795">
        <v>0</v>
      </c>
      <c r="BP238" s="251">
        <f>AX238-BJ238</f>
        <v>0</v>
      </c>
      <c r="BQ238" s="373">
        <v>0</v>
      </c>
      <c r="BR238" s="251">
        <f>BV238</f>
        <v>54189.983999999997</v>
      </c>
      <c r="BS238" s="533">
        <f t="shared" si="603"/>
        <v>1</v>
      </c>
      <c r="BT238" s="251">
        <v>0</v>
      </c>
      <c r="BU238" s="533">
        <v>0</v>
      </c>
      <c r="BV238" s="251">
        <f t="shared" ref="BV238:BV239" si="650">M238-BJ238</f>
        <v>54189.983999999997</v>
      </c>
      <c r="BW238" s="533">
        <f t="shared" si="597"/>
        <v>1</v>
      </c>
      <c r="BX238" s="1186"/>
      <c r="BY238" s="271">
        <f t="shared" si="630"/>
        <v>1</v>
      </c>
      <c r="BZ238" s="176"/>
      <c r="CA238" s="631"/>
      <c r="CB238" s="176"/>
      <c r="CC238" s="631"/>
      <c r="CD238" s="176"/>
      <c r="CE238" s="631"/>
      <c r="CF238" s="176"/>
      <c r="CG238" s="393"/>
      <c r="CH238" s="176"/>
      <c r="CI238" s="393"/>
      <c r="CJ238" s="176"/>
      <c r="CK238" s="394"/>
    </row>
    <row r="239" spans="2:99" s="424" customFormat="1" ht="27" customHeight="1">
      <c r="B239" s="805"/>
      <c r="C239" s="713" t="s">
        <v>377</v>
      </c>
      <c r="D239" s="819"/>
      <c r="E239" s="249"/>
      <c r="F239" s="249"/>
      <c r="G239" s="249"/>
      <c r="H239" s="249"/>
      <c r="I239" s="249"/>
      <c r="J239" s="249"/>
      <c r="K239" s="251">
        <f t="shared" si="649"/>
        <v>16310.241</v>
      </c>
      <c r="L239" s="251"/>
      <c r="M239" s="251">
        <v>16310.241</v>
      </c>
      <c r="N239" s="251">
        <f t="shared" si="618"/>
        <v>0</v>
      </c>
      <c r="O239" s="251"/>
      <c r="P239" s="251">
        <f t="shared" si="619"/>
        <v>0</v>
      </c>
      <c r="Q239" s="249">
        <f t="shared" si="620"/>
        <v>16310.241</v>
      </c>
      <c r="R239" s="249"/>
      <c r="S239" s="249">
        <f t="shared" si="632"/>
        <v>16310.241</v>
      </c>
      <c r="T239" s="251">
        <f>V239+X239</f>
        <v>0</v>
      </c>
      <c r="U239" s="253">
        <f t="shared" si="585"/>
        <v>0</v>
      </c>
      <c r="V239" s="251">
        <v>0</v>
      </c>
      <c r="W239" s="255">
        <v>0</v>
      </c>
      <c r="X239" s="251">
        <v>0</v>
      </c>
      <c r="Y239" s="253">
        <f t="shared" si="586"/>
        <v>0</v>
      </c>
      <c r="Z239" s="251">
        <f t="shared" si="622"/>
        <v>16310.241</v>
      </c>
      <c r="AA239" s="253">
        <f t="shared" si="587"/>
        <v>1</v>
      </c>
      <c r="AB239" s="251">
        <v>0</v>
      </c>
      <c r="AC239" s="253">
        <v>0</v>
      </c>
      <c r="AD239" s="251">
        <f t="shared" si="607"/>
        <v>16310.241</v>
      </c>
      <c r="AE239" s="251"/>
      <c r="AF239" s="251"/>
      <c r="AG239" s="251"/>
      <c r="AH239" s="251"/>
      <c r="AI239" s="251"/>
      <c r="AJ239" s="251"/>
      <c r="AK239" s="251">
        <f t="shared" si="623"/>
        <v>0</v>
      </c>
      <c r="AL239" s="257"/>
      <c r="AM239" s="368">
        <f t="shared" si="600"/>
        <v>0</v>
      </c>
      <c r="AN239" s="808">
        <v>0</v>
      </c>
      <c r="AO239" s="257"/>
      <c r="AP239" s="368">
        <v>0</v>
      </c>
      <c r="AQ239" s="251">
        <f t="shared" si="624"/>
        <v>0</v>
      </c>
      <c r="AR239" s="257"/>
      <c r="AS239" s="368">
        <f t="shared" si="635"/>
        <v>0</v>
      </c>
      <c r="AT239" s="251">
        <f t="shared" ref="AT239:AT241" si="651">AV239+AX239</f>
        <v>0</v>
      </c>
      <c r="AU239" s="769">
        <v>0</v>
      </c>
      <c r="AV239" s="251">
        <v>0</v>
      </c>
      <c r="AW239" s="792">
        <v>0</v>
      </c>
      <c r="AX239" s="251">
        <v>0</v>
      </c>
      <c r="AY239" s="793">
        <v>0</v>
      </c>
      <c r="AZ239" s="251">
        <f t="shared" si="626"/>
        <v>16310.241</v>
      </c>
      <c r="BA239" s="498">
        <f t="shared" si="590"/>
        <v>1</v>
      </c>
      <c r="BB239" s="387">
        <v>0</v>
      </c>
      <c r="BC239" s="498">
        <v>0</v>
      </c>
      <c r="BD239" s="251">
        <f>S239-AX239</f>
        <v>16310.241</v>
      </c>
      <c r="BE239" s="375">
        <f t="shared" si="591"/>
        <v>1</v>
      </c>
      <c r="BF239" s="251">
        <f t="shared" si="633"/>
        <v>0</v>
      </c>
      <c r="BG239" s="373">
        <v>0</v>
      </c>
      <c r="BH239" s="794">
        <v>0</v>
      </c>
      <c r="BI239" s="373">
        <v>0</v>
      </c>
      <c r="BJ239" s="251">
        <v>0</v>
      </c>
      <c r="BK239" s="373">
        <v>0</v>
      </c>
      <c r="BL239" s="251">
        <f t="shared" si="617"/>
        <v>0</v>
      </c>
      <c r="BM239" s="373">
        <v>0</v>
      </c>
      <c r="BN239" s="251">
        <v>0</v>
      </c>
      <c r="BO239" s="795">
        <v>0</v>
      </c>
      <c r="BP239" s="251">
        <f>AX239-BJ239</f>
        <v>0</v>
      </c>
      <c r="BQ239" s="373">
        <v>0</v>
      </c>
      <c r="BR239" s="251">
        <f>BT239+BV239</f>
        <v>16310.241</v>
      </c>
      <c r="BS239" s="533">
        <f t="shared" si="603"/>
        <v>1</v>
      </c>
      <c r="BT239" s="251">
        <v>0</v>
      </c>
      <c r="BU239" s="533">
        <v>0</v>
      </c>
      <c r="BV239" s="251">
        <f t="shared" si="650"/>
        <v>16310.241</v>
      </c>
      <c r="BW239" s="533">
        <f t="shared" si="597"/>
        <v>1</v>
      </c>
      <c r="BX239" s="1187"/>
      <c r="BY239" s="271">
        <f t="shared" si="630"/>
        <v>1</v>
      </c>
      <c r="BZ239" s="176"/>
      <c r="CA239" s="631"/>
      <c r="CB239" s="176"/>
      <c r="CC239" s="631"/>
      <c r="CD239" s="176"/>
      <c r="CE239" s="631"/>
      <c r="CF239" s="176"/>
      <c r="CG239" s="393"/>
      <c r="CH239" s="176"/>
      <c r="CI239" s="393"/>
      <c r="CJ239" s="176"/>
      <c r="CK239" s="394"/>
    </row>
    <row r="240" spans="2:99" s="580" customFormat="1" ht="50.25" customHeight="1">
      <c r="B240" s="801" t="s">
        <v>267</v>
      </c>
      <c r="C240" s="818" t="s">
        <v>387</v>
      </c>
      <c r="D240" s="816"/>
      <c r="E240" s="502"/>
      <c r="F240" s="502"/>
      <c r="G240" s="502"/>
      <c r="H240" s="502"/>
      <c r="I240" s="502"/>
      <c r="J240" s="502"/>
      <c r="K240" s="251">
        <f>SUM(K241:K241)</f>
        <v>93871</v>
      </c>
      <c r="L240" s="251">
        <f>SUM(L241:L241)</f>
        <v>0</v>
      </c>
      <c r="M240" s="251">
        <f>M241</f>
        <v>93871</v>
      </c>
      <c r="N240" s="251">
        <f>P240</f>
        <v>0</v>
      </c>
      <c r="O240" s="251"/>
      <c r="P240" s="251">
        <f>P241</f>
        <v>0</v>
      </c>
      <c r="Q240" s="249">
        <f t="shared" si="620"/>
        <v>93871</v>
      </c>
      <c r="R240" s="249"/>
      <c r="S240" s="249">
        <f>S241</f>
        <v>93871</v>
      </c>
      <c r="T240" s="251">
        <f>X240</f>
        <v>0</v>
      </c>
      <c r="U240" s="253">
        <f t="shared" si="585"/>
        <v>0</v>
      </c>
      <c r="V240" s="251">
        <v>0</v>
      </c>
      <c r="W240" s="255">
        <v>0</v>
      </c>
      <c r="X240" s="251">
        <f>X241</f>
        <v>0</v>
      </c>
      <c r="Y240" s="253">
        <f t="shared" si="586"/>
        <v>0</v>
      </c>
      <c r="Z240" s="251">
        <f t="shared" si="622"/>
        <v>93871</v>
      </c>
      <c r="AA240" s="253">
        <f t="shared" si="587"/>
        <v>1</v>
      </c>
      <c r="AB240" s="251">
        <v>0</v>
      </c>
      <c r="AC240" s="253">
        <v>0</v>
      </c>
      <c r="AD240" s="251">
        <f t="shared" si="607"/>
        <v>93871</v>
      </c>
      <c r="AE240" s="251"/>
      <c r="AF240" s="251"/>
      <c r="AG240" s="251"/>
      <c r="AH240" s="251"/>
      <c r="AI240" s="251"/>
      <c r="AJ240" s="251"/>
      <c r="AK240" s="251">
        <f t="shared" si="623"/>
        <v>93871</v>
      </c>
      <c r="AL240" s="257"/>
      <c r="AM240" s="368">
        <f t="shared" si="600"/>
        <v>1</v>
      </c>
      <c r="AN240" s="808">
        <v>0</v>
      </c>
      <c r="AO240" s="257"/>
      <c r="AP240" s="368">
        <v>0</v>
      </c>
      <c r="AQ240" s="251">
        <f t="shared" si="624"/>
        <v>93871</v>
      </c>
      <c r="AR240" s="257"/>
      <c r="AS240" s="368">
        <f t="shared" si="635"/>
        <v>1</v>
      </c>
      <c r="AT240" s="251">
        <f t="shared" si="651"/>
        <v>93871</v>
      </c>
      <c r="AU240" s="769">
        <f>AT240/K240</f>
        <v>1</v>
      </c>
      <c r="AV240" s="251">
        <v>0</v>
      </c>
      <c r="AW240" s="792">
        <v>0</v>
      </c>
      <c r="AX240" s="251">
        <f>AX241</f>
        <v>93871</v>
      </c>
      <c r="AY240" s="793">
        <f>AX240/S240</f>
        <v>1</v>
      </c>
      <c r="AZ240" s="251">
        <f t="shared" si="626"/>
        <v>0</v>
      </c>
      <c r="BA240" s="498">
        <f t="shared" si="590"/>
        <v>0</v>
      </c>
      <c r="BB240" s="387">
        <v>0</v>
      </c>
      <c r="BC240" s="498">
        <v>0</v>
      </c>
      <c r="BD240" s="251">
        <f>M240-AX240</f>
        <v>0</v>
      </c>
      <c r="BE240" s="375">
        <f t="shared" si="591"/>
        <v>0</v>
      </c>
      <c r="BF240" s="251">
        <f>BJ240</f>
        <v>93871</v>
      </c>
      <c r="BG240" s="373">
        <f t="shared" si="601"/>
        <v>1</v>
      </c>
      <c r="BH240" s="794">
        <v>0</v>
      </c>
      <c r="BI240" s="373">
        <v>0</v>
      </c>
      <c r="BJ240" s="387">
        <f>BJ241</f>
        <v>93871</v>
      </c>
      <c r="BK240" s="373">
        <f t="shared" si="602"/>
        <v>1</v>
      </c>
      <c r="BL240" s="251">
        <f t="shared" si="617"/>
        <v>0</v>
      </c>
      <c r="BM240" s="373">
        <f t="shared" si="595"/>
        <v>0</v>
      </c>
      <c r="BN240" s="251">
        <v>0</v>
      </c>
      <c r="BO240" s="795">
        <v>0</v>
      </c>
      <c r="BP240" s="251">
        <f>BP241</f>
        <v>0</v>
      </c>
      <c r="BQ240" s="373">
        <f t="shared" si="596"/>
        <v>0</v>
      </c>
      <c r="BR240" s="503">
        <f>BT240+BV240</f>
        <v>0</v>
      </c>
      <c r="BS240" s="533">
        <f t="shared" si="603"/>
        <v>0</v>
      </c>
      <c r="BT240" s="251">
        <v>0</v>
      </c>
      <c r="BU240" s="533">
        <v>0</v>
      </c>
      <c r="BV240" s="503">
        <f>BV241</f>
        <v>0</v>
      </c>
      <c r="BW240" s="533">
        <f t="shared" si="597"/>
        <v>0</v>
      </c>
      <c r="BX240" s="609" t="s">
        <v>388</v>
      </c>
      <c r="BY240" s="265">
        <f t="shared" si="630"/>
        <v>1</v>
      </c>
      <c r="BZ240" s="161"/>
      <c r="CA240" s="630"/>
      <c r="CB240" s="161"/>
      <c r="CC240" s="630"/>
      <c r="CD240" s="161"/>
      <c r="CE240" s="630"/>
      <c r="CF240" s="152" t="s">
        <v>81</v>
      </c>
      <c r="CG240" s="152" t="s">
        <v>81</v>
      </c>
      <c r="CH240" s="161"/>
      <c r="CI240" s="589"/>
      <c r="CJ240" s="161"/>
      <c r="CK240" s="590"/>
    </row>
    <row r="241" spans="2:89" s="424" customFormat="1" ht="26.25" customHeight="1">
      <c r="B241" s="275"/>
      <c r="C241" s="708" t="s">
        <v>365</v>
      </c>
      <c r="D241" s="266"/>
      <c r="E241" s="175"/>
      <c r="F241" s="175"/>
      <c r="G241" s="175"/>
      <c r="H241" s="175"/>
      <c r="I241" s="175"/>
      <c r="J241" s="175"/>
      <c r="K241" s="251">
        <f t="shared" ref="K241" si="652">L241+M241</f>
        <v>93871</v>
      </c>
      <c r="L241" s="251"/>
      <c r="M241" s="251">
        <v>93871</v>
      </c>
      <c r="N241" s="251">
        <f t="shared" si="618"/>
        <v>0</v>
      </c>
      <c r="O241" s="251"/>
      <c r="P241" s="251">
        <f t="shared" si="619"/>
        <v>0</v>
      </c>
      <c r="Q241" s="249">
        <f t="shared" si="620"/>
        <v>93871</v>
      </c>
      <c r="R241" s="249"/>
      <c r="S241" s="249">
        <f>M241</f>
        <v>93871</v>
      </c>
      <c r="T241" s="251">
        <f>V241+X241</f>
        <v>0</v>
      </c>
      <c r="U241" s="253">
        <f t="shared" si="585"/>
        <v>0</v>
      </c>
      <c r="V241" s="251">
        <v>0</v>
      </c>
      <c r="W241" s="255">
        <v>0</v>
      </c>
      <c r="X241" s="251">
        <v>0</v>
      </c>
      <c r="Y241" s="253">
        <f t="shared" si="586"/>
        <v>0</v>
      </c>
      <c r="Z241" s="251">
        <f t="shared" si="622"/>
        <v>93871</v>
      </c>
      <c r="AA241" s="253">
        <f t="shared" si="587"/>
        <v>1</v>
      </c>
      <c r="AB241" s="251">
        <v>0</v>
      </c>
      <c r="AC241" s="253">
        <v>0</v>
      </c>
      <c r="AD241" s="251">
        <f t="shared" si="607"/>
        <v>93871</v>
      </c>
      <c r="AE241" s="251"/>
      <c r="AF241" s="251"/>
      <c r="AG241" s="251"/>
      <c r="AH241" s="251"/>
      <c r="AI241" s="251"/>
      <c r="AJ241" s="251"/>
      <c r="AK241" s="251">
        <f t="shared" si="623"/>
        <v>93871</v>
      </c>
      <c r="AL241" s="257"/>
      <c r="AM241" s="368">
        <f t="shared" si="600"/>
        <v>1</v>
      </c>
      <c r="AN241" s="808">
        <v>0</v>
      </c>
      <c r="AO241" s="257"/>
      <c r="AP241" s="368">
        <v>0</v>
      </c>
      <c r="AQ241" s="251">
        <f t="shared" si="624"/>
        <v>93871</v>
      </c>
      <c r="AR241" s="257"/>
      <c r="AS241" s="368">
        <f t="shared" si="635"/>
        <v>1</v>
      </c>
      <c r="AT241" s="251">
        <f t="shared" si="651"/>
        <v>93871</v>
      </c>
      <c r="AU241" s="769">
        <f>AT241/K241</f>
        <v>1</v>
      </c>
      <c r="AV241" s="251">
        <v>0</v>
      </c>
      <c r="AW241" s="792">
        <v>0</v>
      </c>
      <c r="AX241" s="251">
        <f>M241</f>
        <v>93871</v>
      </c>
      <c r="AY241" s="793">
        <f>AX241/S241</f>
        <v>1</v>
      </c>
      <c r="AZ241" s="251">
        <f t="shared" si="626"/>
        <v>0</v>
      </c>
      <c r="BA241" s="498">
        <f t="shared" si="590"/>
        <v>0</v>
      </c>
      <c r="BB241" s="387">
        <v>0</v>
      </c>
      <c r="BC241" s="498">
        <v>0</v>
      </c>
      <c r="BD241" s="251">
        <f>S241-AX241</f>
        <v>0</v>
      </c>
      <c r="BE241" s="375">
        <f t="shared" si="591"/>
        <v>0</v>
      </c>
      <c r="BF241" s="251">
        <f>BJ241</f>
        <v>93871</v>
      </c>
      <c r="BG241" s="373">
        <f t="shared" si="601"/>
        <v>1</v>
      </c>
      <c r="BH241" s="794">
        <v>0</v>
      </c>
      <c r="BI241" s="373">
        <v>0</v>
      </c>
      <c r="BJ241" s="251">
        <f>AX241</f>
        <v>93871</v>
      </c>
      <c r="BK241" s="373">
        <f t="shared" si="602"/>
        <v>1</v>
      </c>
      <c r="BL241" s="251">
        <f t="shared" si="617"/>
        <v>0</v>
      </c>
      <c r="BM241" s="373">
        <f t="shared" si="595"/>
        <v>0</v>
      </c>
      <c r="BN241" s="251">
        <v>0</v>
      </c>
      <c r="BO241" s="795">
        <v>0</v>
      </c>
      <c r="BP241" s="251">
        <f>AX241-BJ241</f>
        <v>0</v>
      </c>
      <c r="BQ241" s="373">
        <f t="shared" si="596"/>
        <v>0</v>
      </c>
      <c r="BR241" s="251">
        <f>BT241+BV241</f>
        <v>0</v>
      </c>
      <c r="BS241" s="533">
        <f t="shared" si="603"/>
        <v>0</v>
      </c>
      <c r="BT241" s="251">
        <v>0</v>
      </c>
      <c r="BU241" s="533">
        <v>0</v>
      </c>
      <c r="BV241" s="251">
        <f>M241-BJ241</f>
        <v>0</v>
      </c>
      <c r="BW241" s="533">
        <f t="shared" si="597"/>
        <v>0</v>
      </c>
      <c r="BX241" s="303"/>
      <c r="BY241" s="271">
        <f t="shared" si="630"/>
        <v>1</v>
      </c>
      <c r="BZ241" s="176"/>
      <c r="CA241" s="631"/>
      <c r="CB241" s="176"/>
      <c r="CC241" s="631"/>
      <c r="CD241" s="176"/>
      <c r="CE241" s="631"/>
      <c r="CF241" s="176"/>
      <c r="CG241" s="393"/>
      <c r="CH241" s="176"/>
      <c r="CI241" s="393"/>
      <c r="CJ241" s="176"/>
      <c r="CK241" s="394"/>
    </row>
    <row r="242" spans="2:89" s="420" customFormat="1" ht="33" hidden="1" customHeight="1">
      <c r="B242" s="1188" t="s">
        <v>389</v>
      </c>
      <c r="C242" s="1189"/>
      <c r="D242" s="1189"/>
      <c r="E242" s="1189"/>
      <c r="F242" s="1189"/>
      <c r="G242" s="1189"/>
      <c r="H242" s="1189"/>
      <c r="I242" s="1189"/>
      <c r="J242" s="1189"/>
      <c r="K242" s="1189"/>
      <c r="L242" s="1189"/>
      <c r="M242" s="1189"/>
      <c r="N242" s="1189"/>
      <c r="O242" s="1189"/>
      <c r="P242" s="1189"/>
      <c r="Q242" s="1189"/>
      <c r="R242" s="1189"/>
      <c r="S242" s="1189"/>
      <c r="T242" s="1189"/>
      <c r="U242" s="1189"/>
      <c r="V242" s="1189"/>
      <c r="W242" s="1189"/>
      <c r="X242" s="1189"/>
      <c r="Y242" s="1189"/>
      <c r="Z242" s="1189"/>
      <c r="AA242" s="1189"/>
      <c r="AB242" s="1189"/>
      <c r="AC242" s="1189"/>
      <c r="AD242" s="1189"/>
      <c r="AE242" s="1189"/>
      <c r="AF242" s="1189"/>
      <c r="AG242" s="1189"/>
      <c r="AH242" s="1189"/>
      <c r="AI242" s="1189"/>
      <c r="AJ242" s="1189"/>
      <c r="AK242" s="1189"/>
      <c r="AL242" s="1189"/>
      <c r="AM242" s="1189"/>
      <c r="AN242" s="1189"/>
      <c r="AO242" s="1189"/>
      <c r="AP242" s="1189"/>
      <c r="AQ242" s="1189"/>
      <c r="AR242" s="1189"/>
      <c r="AS242" s="1189"/>
      <c r="AT242" s="1189"/>
      <c r="AU242" s="1189"/>
      <c r="AV242" s="1189"/>
      <c r="AW242" s="1189"/>
      <c r="AX242" s="1189"/>
      <c r="AY242" s="1189"/>
      <c r="AZ242" s="1189"/>
      <c r="BA242" s="1189"/>
      <c r="BB242" s="1189"/>
      <c r="BC242" s="1189"/>
      <c r="BD242" s="1189"/>
      <c r="BE242" s="1189"/>
      <c r="BF242" s="1189"/>
      <c r="BG242" s="1189"/>
      <c r="BH242" s="1189"/>
      <c r="BI242" s="1189"/>
      <c r="BJ242" s="1189"/>
      <c r="BK242" s="1189"/>
      <c r="BL242" s="1189"/>
      <c r="BM242" s="1190"/>
      <c r="BN242" s="1189"/>
      <c r="BO242" s="1189"/>
      <c r="BP242" s="1189"/>
      <c r="BQ242" s="1189"/>
      <c r="BR242" s="1189"/>
      <c r="BS242" s="1189"/>
      <c r="BT242" s="1189"/>
      <c r="BU242" s="1189"/>
      <c r="BV242" s="1189"/>
      <c r="BW242" s="820"/>
      <c r="BX242" s="303"/>
      <c r="BY242" s="303"/>
      <c r="BZ242" s="303"/>
      <c r="CA242" s="303"/>
      <c r="CB242" s="303"/>
      <c r="CC242" s="303"/>
      <c r="CD242" s="303"/>
      <c r="CE242" s="303"/>
      <c r="CF242" s="418"/>
      <c r="CG242" s="418"/>
      <c r="CH242" s="418"/>
      <c r="CI242" s="418"/>
      <c r="CJ242" s="418"/>
      <c r="CK242" s="419"/>
    </row>
    <row r="243" spans="2:89" s="580" customFormat="1" ht="99" hidden="1" customHeight="1">
      <c r="B243" s="710" t="s">
        <v>390</v>
      </c>
      <c r="C243" s="711" t="s">
        <v>391</v>
      </c>
      <c r="D243" s="739" t="s">
        <v>392</v>
      </c>
      <c r="E243" s="160">
        <f t="shared" ref="E243:E248" si="653">F243+G243</f>
        <v>316171.52745000005</v>
      </c>
      <c r="F243" s="160">
        <f>F244+F245</f>
        <v>316171.52745000005</v>
      </c>
      <c r="G243" s="160">
        <f>G244+G245</f>
        <v>0</v>
      </c>
      <c r="H243" s="160">
        <f t="shared" ref="H243:H248" si="654">I243+J243</f>
        <v>-316171.52745000005</v>
      </c>
      <c r="I243" s="160">
        <f>I244+I245</f>
        <v>-316171.52745000005</v>
      </c>
      <c r="J243" s="160">
        <f>J244+J245</f>
        <v>0</v>
      </c>
      <c r="K243" s="161">
        <f>K244</f>
        <v>0</v>
      </c>
      <c r="L243" s="161">
        <f>L244</f>
        <v>0</v>
      </c>
      <c r="M243" s="161">
        <f>M244</f>
        <v>0</v>
      </c>
      <c r="N243" s="161">
        <f>O243+P243</f>
        <v>0</v>
      </c>
      <c r="O243" s="161">
        <f>O244+O245</f>
        <v>0</v>
      </c>
      <c r="P243" s="161">
        <f>P244+P245</f>
        <v>0</v>
      </c>
      <c r="Q243" s="161">
        <f>R243+S243</f>
        <v>0</v>
      </c>
      <c r="R243" s="161">
        <f t="shared" ref="R243:T244" si="655">R244+R245</f>
        <v>0</v>
      </c>
      <c r="S243" s="161">
        <f t="shared" si="655"/>
        <v>0</v>
      </c>
      <c r="T243" s="161">
        <f t="shared" si="655"/>
        <v>0</v>
      </c>
      <c r="U243" s="630" t="e">
        <f>SUM(T243/K243)</f>
        <v>#DIV/0!</v>
      </c>
      <c r="V243" s="161">
        <f>V244+V245</f>
        <v>0</v>
      </c>
      <c r="W243" s="630"/>
      <c r="X243" s="161">
        <f>X244+X245</f>
        <v>0</v>
      </c>
      <c r="Y243" s="630" t="e">
        <f>SUM(X243/M243)</f>
        <v>#DIV/0!</v>
      </c>
      <c r="Z243" s="161">
        <f>AB243+AD243</f>
        <v>0</v>
      </c>
      <c r="AA243" s="630" t="e">
        <f>SUM(Z243/Q243)</f>
        <v>#DIV/0!</v>
      </c>
      <c r="AB243" s="161">
        <f>AB244+AB245</f>
        <v>0</v>
      </c>
      <c r="AC243" s="630"/>
      <c r="AD243" s="161">
        <f>AD244+AD245</f>
        <v>0</v>
      </c>
      <c r="AE243" s="161">
        <f>AF243+AG243</f>
        <v>0</v>
      </c>
      <c r="AF243" s="161">
        <f>AF244+AF245</f>
        <v>0</v>
      </c>
      <c r="AG243" s="161">
        <f>AG244+AG245</f>
        <v>0</v>
      </c>
      <c r="AH243" s="161">
        <f t="shared" ref="AH243:AH248" si="656">AI243+AJ243</f>
        <v>0</v>
      </c>
      <c r="AI243" s="161">
        <f>AI244+AI245</f>
        <v>0</v>
      </c>
      <c r="AJ243" s="161">
        <f>AQ243</f>
        <v>0</v>
      </c>
      <c r="AK243" s="161">
        <f>AK244+AK245</f>
        <v>0</v>
      </c>
      <c r="AL243" s="163">
        <v>0</v>
      </c>
      <c r="AM243" s="163" t="e">
        <f t="shared" ref="AM243:AM277" si="657">AK243/K243</f>
        <v>#DIV/0!</v>
      </c>
      <c r="AN243" s="161">
        <f>AN244+AN245</f>
        <v>0</v>
      </c>
      <c r="AO243" s="163" t="e">
        <f t="shared" ref="AO243:AO248" si="658">AN243/AI243</f>
        <v>#DIV/0!</v>
      </c>
      <c r="AP243" s="163"/>
      <c r="AQ243" s="161">
        <f>AQ244+AQ245</f>
        <v>0</v>
      </c>
      <c r="AR243" s="163" t="e">
        <f>AQ243/AJ243</f>
        <v>#DIV/0!</v>
      </c>
      <c r="AS243" s="163" t="e">
        <f t="shared" ref="AS243:AS257" si="659">AQ243/M243</f>
        <v>#DIV/0!</v>
      </c>
      <c r="AT243" s="161">
        <f>AT244+AT245</f>
        <v>0</v>
      </c>
      <c r="AU243" s="821" t="e">
        <f>AT243/K243</f>
        <v>#DIV/0!</v>
      </c>
      <c r="AV243" s="161">
        <f>AV244+AV245</f>
        <v>0</v>
      </c>
      <c r="AW243" s="822" t="e">
        <f t="shared" ref="AW243:AW257" si="660">AV243/L243</f>
        <v>#DIV/0!</v>
      </c>
      <c r="AX243" s="161">
        <f>AX244+AX245</f>
        <v>0</v>
      </c>
      <c r="AY243" s="822" t="e">
        <f t="shared" ref="AY243:AY257" si="661">AX243/M243</f>
        <v>#DIV/0!</v>
      </c>
      <c r="AZ243" s="160">
        <f>AZ244+AZ245</f>
        <v>0</v>
      </c>
      <c r="BA243" s="160"/>
      <c r="BB243" s="160"/>
      <c r="BC243" s="160"/>
      <c r="BD243" s="160">
        <f>BD244+BD245</f>
        <v>0</v>
      </c>
      <c r="BE243" s="160"/>
      <c r="BF243" s="161">
        <f t="shared" ref="BF243:BF248" si="662">BH243+BJ243</f>
        <v>0</v>
      </c>
      <c r="BG243" s="161"/>
      <c r="BH243" s="161">
        <f>BH244+BH245</f>
        <v>0</v>
      </c>
      <c r="BI243" s="161"/>
      <c r="BJ243" s="161">
        <f>BJ244+BJ245</f>
        <v>0</v>
      </c>
      <c r="BK243" s="161"/>
      <c r="BL243" s="161">
        <f t="shared" ref="BL243:BL248" si="663">BN243+BP243</f>
        <v>0</v>
      </c>
      <c r="BM243" s="161"/>
      <c r="BN243" s="160">
        <f>BN244+BN245</f>
        <v>0</v>
      </c>
      <c r="BO243" s="160"/>
      <c r="BP243" s="161">
        <f>BP244+BP245</f>
        <v>0</v>
      </c>
      <c r="BQ243" s="161"/>
      <c r="BR243" s="161">
        <f t="shared" ref="BR243:BT244" si="664">BR244</f>
        <v>0</v>
      </c>
      <c r="BS243" s="161"/>
      <c r="BT243" s="161">
        <f t="shared" si="664"/>
        <v>0</v>
      </c>
      <c r="BU243" s="161"/>
      <c r="BV243" s="161">
        <v>0</v>
      </c>
      <c r="BW243" s="161"/>
      <c r="BX243" s="160"/>
      <c r="BY243" s="630" t="e">
        <f>SUM(BX243/#REF!)</f>
        <v>#REF!</v>
      </c>
      <c r="BZ243" s="161">
        <f>CB243+CD243</f>
        <v>0</v>
      </c>
      <c r="CA243" s="630" t="e">
        <f>SUM(BZ243/BT243)</f>
        <v>#DIV/0!</v>
      </c>
      <c r="CB243" s="161">
        <f>CB244+CB245</f>
        <v>0</v>
      </c>
      <c r="CC243" s="630"/>
      <c r="CD243" s="161">
        <f>CD244+CD245</f>
        <v>0</v>
      </c>
      <c r="CE243" s="630" t="e">
        <f>SUM(CD243/#REF!)</f>
        <v>#REF!</v>
      </c>
      <c r="CF243" s="161">
        <f>CG243+CH243</f>
        <v>0</v>
      </c>
      <c r="CG243" s="589"/>
      <c r="CH243" s="161">
        <f>CI243+CJ243</f>
        <v>0</v>
      </c>
      <c r="CI243" s="589"/>
      <c r="CJ243" s="161">
        <f>CK243+CL243</f>
        <v>0</v>
      </c>
      <c r="CK243" s="590"/>
    </row>
    <row r="244" spans="2:89" s="825" customFormat="1" ht="74.25" hidden="1" customHeight="1">
      <c r="B244" s="710" t="s">
        <v>49</v>
      </c>
      <c r="C244" s="708" t="s">
        <v>393</v>
      </c>
      <c r="D244" s="739"/>
      <c r="E244" s="175">
        <f t="shared" si="653"/>
        <v>149017.70360000001</v>
      </c>
      <c r="F244" s="175">
        <f>F247+F250</f>
        <v>149017.70360000001</v>
      </c>
      <c r="G244" s="175">
        <f>G247+G250</f>
        <v>0</v>
      </c>
      <c r="H244" s="175">
        <f t="shared" si="654"/>
        <v>-149017.70360000001</v>
      </c>
      <c r="I244" s="175">
        <f>I247+I250</f>
        <v>-149017.70360000001</v>
      </c>
      <c r="J244" s="175">
        <f>J247+J250</f>
        <v>0</v>
      </c>
      <c r="K244" s="176">
        <f>K245+K246</f>
        <v>0</v>
      </c>
      <c r="L244" s="176">
        <f>L245+L246</f>
        <v>0</v>
      </c>
      <c r="M244" s="176">
        <f>M245+M246</f>
        <v>0</v>
      </c>
      <c r="N244" s="176">
        <f>N245+N246</f>
        <v>0</v>
      </c>
      <c r="O244" s="176">
        <f>O245+O246</f>
        <v>0</v>
      </c>
      <c r="P244" s="176">
        <f>P245+P246</f>
        <v>0</v>
      </c>
      <c r="Q244" s="176">
        <f>Q245+Q246</f>
        <v>0</v>
      </c>
      <c r="R244" s="176">
        <f t="shared" si="655"/>
        <v>0</v>
      </c>
      <c r="S244" s="176">
        <f t="shared" si="655"/>
        <v>0</v>
      </c>
      <c r="T244" s="176">
        <f t="shared" si="655"/>
        <v>0</v>
      </c>
      <c r="U244" s="176">
        <f>U245+U246</f>
        <v>0</v>
      </c>
      <c r="V244" s="176">
        <f>V245+V246</f>
        <v>0</v>
      </c>
      <c r="W244" s="176">
        <f>W245+W246</f>
        <v>0</v>
      </c>
      <c r="X244" s="176">
        <f>X245+X246</f>
        <v>0</v>
      </c>
      <c r="Y244" s="176">
        <f>Y245+Y246</f>
        <v>0</v>
      </c>
      <c r="Z244" s="176">
        <f>Z245+Z246</f>
        <v>0</v>
      </c>
      <c r="AA244" s="176">
        <f>AA245+AA246</f>
        <v>0</v>
      </c>
      <c r="AB244" s="176">
        <f>AB245+AB246</f>
        <v>0</v>
      </c>
      <c r="AC244" s="176">
        <f>AC245+AC246</f>
        <v>0</v>
      </c>
      <c r="AD244" s="176">
        <f>AD245+AD246</f>
        <v>0</v>
      </c>
      <c r="AE244" s="176">
        <f>AE245+AE246</f>
        <v>0</v>
      </c>
      <c r="AF244" s="176">
        <f>AF245+AF246</f>
        <v>0</v>
      </c>
      <c r="AG244" s="176">
        <f>AG245+AG246</f>
        <v>0</v>
      </c>
      <c r="AH244" s="176">
        <f t="shared" si="656"/>
        <v>0</v>
      </c>
      <c r="AI244" s="176">
        <f>AI247+AI250</f>
        <v>0</v>
      </c>
      <c r="AJ244" s="176">
        <f>AQ244</f>
        <v>0</v>
      </c>
      <c r="AK244" s="176">
        <f>AQ244</f>
        <v>0</v>
      </c>
      <c r="AL244" s="163">
        <v>0</v>
      </c>
      <c r="AM244" s="163" t="e">
        <f t="shared" si="657"/>
        <v>#DIV/0!</v>
      </c>
      <c r="AN244" s="176">
        <f>AN247+AN250</f>
        <v>0</v>
      </c>
      <c r="AO244" s="707" t="e">
        <f t="shared" si="658"/>
        <v>#DIV/0!</v>
      </c>
      <c r="AP244" s="707"/>
      <c r="AQ244" s="176">
        <f>AT244</f>
        <v>0</v>
      </c>
      <c r="AR244" s="163" t="e">
        <f t="shared" ref="AR244:AR257" si="665">AQ244/AJ244</f>
        <v>#DIV/0!</v>
      </c>
      <c r="AS244" s="163" t="e">
        <f t="shared" si="659"/>
        <v>#DIV/0!</v>
      </c>
      <c r="AT244" s="176">
        <f>AX244</f>
        <v>0</v>
      </c>
      <c r="AU244" s="756" t="e">
        <f>AT244/K244</f>
        <v>#DIV/0!</v>
      </c>
      <c r="AV244" s="176">
        <f>AV247+AV250</f>
        <v>0</v>
      </c>
      <c r="AW244" s="822" t="e">
        <f t="shared" si="660"/>
        <v>#DIV/0!</v>
      </c>
      <c r="AX244" s="176"/>
      <c r="AY244" s="756" t="e">
        <f t="shared" si="661"/>
        <v>#DIV/0!</v>
      </c>
      <c r="AZ244" s="175">
        <f>AZ247+AZ250</f>
        <v>0</v>
      </c>
      <c r="BA244" s="175"/>
      <c r="BB244" s="175"/>
      <c r="BC244" s="175"/>
      <c r="BD244" s="175">
        <f>BD247+BD250</f>
        <v>0</v>
      </c>
      <c r="BE244" s="175"/>
      <c r="BF244" s="176">
        <f t="shared" si="662"/>
        <v>0</v>
      </c>
      <c r="BG244" s="176"/>
      <c r="BH244" s="176">
        <f>BH247+BH250</f>
        <v>0</v>
      </c>
      <c r="BI244" s="176"/>
      <c r="BJ244" s="176"/>
      <c r="BK244" s="176"/>
      <c r="BL244" s="176">
        <f t="shared" si="663"/>
        <v>0</v>
      </c>
      <c r="BM244" s="176"/>
      <c r="BN244" s="175">
        <f>BN247+BN250</f>
        <v>0</v>
      </c>
      <c r="BO244" s="175"/>
      <c r="BP244" s="176">
        <f>BP247+BP250</f>
        <v>0</v>
      </c>
      <c r="BQ244" s="176"/>
      <c r="BR244" s="176">
        <f t="shared" si="664"/>
        <v>0</v>
      </c>
      <c r="BS244" s="176"/>
      <c r="BT244" s="176">
        <f t="shared" si="664"/>
        <v>0</v>
      </c>
      <c r="BU244" s="176"/>
      <c r="BV244" s="176">
        <v>0</v>
      </c>
      <c r="BW244" s="176"/>
      <c r="BX244" s="175"/>
      <c r="BY244" s="176">
        <f>BY245+BY246</f>
        <v>0</v>
      </c>
      <c r="BZ244" s="176">
        <f>BZ245+BZ246</f>
        <v>0</v>
      </c>
      <c r="CA244" s="176">
        <f>CA245+CA246</f>
        <v>0</v>
      </c>
      <c r="CB244" s="176">
        <f>CB245+CB246</f>
        <v>0</v>
      </c>
      <c r="CC244" s="176">
        <f>CC245+CC246</f>
        <v>0</v>
      </c>
      <c r="CD244" s="176">
        <f>CD245+CD246</f>
        <v>0</v>
      </c>
      <c r="CE244" s="176">
        <f>CE245+CE246</f>
        <v>0</v>
      </c>
      <c r="CF244" s="176">
        <f>CF245+CF246</f>
        <v>0</v>
      </c>
      <c r="CG244" s="823"/>
      <c r="CH244" s="176">
        <f>CH245+CH246</f>
        <v>0</v>
      </c>
      <c r="CI244" s="823"/>
      <c r="CJ244" s="176">
        <f>CJ245+CJ246</f>
        <v>0</v>
      </c>
      <c r="CK244" s="824"/>
    </row>
    <row r="245" spans="2:89" ht="21.75" hidden="1" customHeight="1">
      <c r="B245" s="826"/>
      <c r="C245" s="687" t="s">
        <v>90</v>
      </c>
      <c r="D245" s="827"/>
      <c r="E245" s="392">
        <f t="shared" si="653"/>
        <v>167153.82385000002</v>
      </c>
      <c r="F245" s="828">
        <f>F247+F248+F249+F251</f>
        <v>167153.82385000002</v>
      </c>
      <c r="G245" s="828">
        <f>G247+G248+G249+G251</f>
        <v>0</v>
      </c>
      <c r="H245" s="392">
        <f t="shared" si="654"/>
        <v>-167153.82385000002</v>
      </c>
      <c r="I245" s="828">
        <f>I247+I248+I249+I251</f>
        <v>-167153.82385000002</v>
      </c>
      <c r="J245" s="828"/>
      <c r="K245" s="392">
        <f>L245+M245</f>
        <v>0</v>
      </c>
      <c r="L245" s="828">
        <f>L247</f>
        <v>0</v>
      </c>
      <c r="M245" s="828">
        <f>M247+M248+M249+M251</f>
        <v>0</v>
      </c>
      <c r="N245" s="392">
        <f>O245+P245</f>
        <v>0</v>
      </c>
      <c r="O245" s="828"/>
      <c r="P245" s="828"/>
      <c r="Q245" s="392">
        <f>R245+S245</f>
        <v>0</v>
      </c>
      <c r="R245" s="828"/>
      <c r="S245" s="828">
        <f>S247+S248+S249+S251</f>
        <v>0</v>
      </c>
      <c r="T245" s="828">
        <f>T247+T248+T249+T251</f>
        <v>0</v>
      </c>
      <c r="U245" s="829"/>
      <c r="V245" s="828">
        <f>V247+V248+V249+V251</f>
        <v>0</v>
      </c>
      <c r="W245" s="829"/>
      <c r="X245" s="828">
        <f>X247+X248+X249+X251</f>
        <v>0</v>
      </c>
      <c r="Y245" s="829"/>
      <c r="Z245" s="392">
        <f>AB245+AD245</f>
        <v>0</v>
      </c>
      <c r="AA245" s="829"/>
      <c r="AB245" s="828">
        <f>AB247+AB248+AB249+AB251</f>
        <v>0</v>
      </c>
      <c r="AC245" s="829"/>
      <c r="AD245" s="828">
        <f>AD247+AD248+AD249+AD251</f>
        <v>0</v>
      </c>
      <c r="AE245" s="392">
        <f>AF245+AG245</f>
        <v>0</v>
      </c>
      <c r="AF245" s="828">
        <f>AF247+AF248+AF249+AF251</f>
        <v>0</v>
      </c>
      <c r="AG245" s="828">
        <f>AG247+AG248+AG249+AG251</f>
        <v>0</v>
      </c>
      <c r="AH245" s="392">
        <f t="shared" si="656"/>
        <v>0</v>
      </c>
      <c r="AI245" s="828">
        <f>AI247+AI248+AI249+AI251+AI250</f>
        <v>0</v>
      </c>
      <c r="AJ245" s="828">
        <f>AJ247+AJ248+AJ249+AJ251</f>
        <v>0</v>
      </c>
      <c r="AK245" s="828">
        <f>AK247+AK248+AK249+AK251+AK250</f>
        <v>0</v>
      </c>
      <c r="AL245" s="163" t="e">
        <f t="shared" ref="AL245:AL276" si="666">AK245/AH245</f>
        <v>#DIV/0!</v>
      </c>
      <c r="AM245" s="163" t="e">
        <f t="shared" si="657"/>
        <v>#DIV/0!</v>
      </c>
      <c r="AN245" s="389">
        <f>AN247+AN248+AN249+AN251+AN250</f>
        <v>0</v>
      </c>
      <c r="AO245" s="707" t="e">
        <f t="shared" si="658"/>
        <v>#DIV/0!</v>
      </c>
      <c r="AP245" s="707" t="e">
        <f>AN245/L245</f>
        <v>#DIV/0!</v>
      </c>
      <c r="AQ245" s="389">
        <f>AQ247+AQ248+AQ249+AQ251</f>
        <v>0</v>
      </c>
      <c r="AR245" s="163" t="e">
        <f t="shared" si="665"/>
        <v>#DIV/0!</v>
      </c>
      <c r="AS245" s="163" t="e">
        <f t="shared" si="659"/>
        <v>#DIV/0!</v>
      </c>
      <c r="AT245" s="389">
        <f>AT247+AT248+AT249+AT251+AT250</f>
        <v>0</v>
      </c>
      <c r="AU245" s="756" t="e">
        <f>AT245/K245</f>
        <v>#DIV/0!</v>
      </c>
      <c r="AV245" s="389">
        <f>AV247+AV248+AV249+AV251+AV250</f>
        <v>0</v>
      </c>
      <c r="AW245" s="822" t="e">
        <f t="shared" si="660"/>
        <v>#DIV/0!</v>
      </c>
      <c r="AX245" s="389">
        <f>AX247+AX248+AX249+AX251</f>
        <v>0</v>
      </c>
      <c r="AY245" s="756" t="e">
        <f t="shared" si="661"/>
        <v>#DIV/0!</v>
      </c>
      <c r="AZ245" s="828">
        <f>AZ247+AZ248+AZ249+AZ251</f>
        <v>0</v>
      </c>
      <c r="BA245" s="828"/>
      <c r="BB245" s="828"/>
      <c r="BC245" s="828"/>
      <c r="BD245" s="828">
        <f>BD247+BD248+BD249+BD251</f>
        <v>0</v>
      </c>
      <c r="BE245" s="828"/>
      <c r="BF245" s="392">
        <f t="shared" si="662"/>
        <v>0</v>
      </c>
      <c r="BG245" s="392"/>
      <c r="BH245" s="828">
        <f>BH247+BH248+BH249+BH251+BH250</f>
        <v>0</v>
      </c>
      <c r="BI245" s="828"/>
      <c r="BJ245" s="828">
        <f>BJ247+BJ248+BJ249+BJ251</f>
        <v>0</v>
      </c>
      <c r="BK245" s="828"/>
      <c r="BL245" s="392">
        <f t="shared" si="663"/>
        <v>0</v>
      </c>
      <c r="BM245" s="392"/>
      <c r="BN245" s="828">
        <f>BN247+BN248+BN249+BN251</f>
        <v>0</v>
      </c>
      <c r="BO245" s="828"/>
      <c r="BP245" s="828">
        <f>BP247+BP248+BP249+BP251</f>
        <v>0</v>
      </c>
      <c r="BQ245" s="828"/>
      <c r="BR245" s="392">
        <f>BT245+BV245</f>
        <v>0</v>
      </c>
      <c r="BS245" s="392"/>
      <c r="BT245" s="828">
        <f>BT247+BT248+BT249+BT251</f>
        <v>0</v>
      </c>
      <c r="BU245" s="828"/>
      <c r="BV245" s="828">
        <v>0</v>
      </c>
      <c r="BW245" s="828"/>
      <c r="BX245" s="435"/>
      <c r="BY245" s="829"/>
      <c r="BZ245" s="392">
        <f>CB245+CD245</f>
        <v>0</v>
      </c>
      <c r="CA245" s="829"/>
      <c r="CB245" s="828">
        <f>CB247+CB248+CB249+CB251</f>
        <v>0</v>
      </c>
      <c r="CC245" s="829"/>
      <c r="CD245" s="828">
        <f>CD247+CD248+CD249+CD251</f>
        <v>0</v>
      </c>
      <c r="CE245" s="829"/>
      <c r="CF245" s="392">
        <f>CG245+CH245</f>
        <v>0</v>
      </c>
      <c r="CG245" s="393"/>
      <c r="CH245" s="392">
        <f>CI245+CJ245</f>
        <v>0</v>
      </c>
      <c r="CI245" s="393"/>
      <c r="CJ245" s="392">
        <f>CK245+CL245</f>
        <v>0</v>
      </c>
      <c r="CK245" s="394"/>
    </row>
    <row r="246" spans="2:89" s="420" customFormat="1" ht="21.75" hidden="1" customHeight="1">
      <c r="B246" s="830"/>
      <c r="C246" s="831" t="s">
        <v>394</v>
      </c>
      <c r="D246" s="417"/>
      <c r="E246" s="417">
        <f t="shared" si="653"/>
        <v>321423.16499999998</v>
      </c>
      <c r="F246" s="832">
        <f>321423.165</f>
        <v>321423.16499999998</v>
      </c>
      <c r="G246" s="832"/>
      <c r="H246" s="417">
        <f t="shared" si="654"/>
        <v>-321423.16499999998</v>
      </c>
      <c r="I246" s="417">
        <f>L246-F246</f>
        <v>-321423.16499999998</v>
      </c>
      <c r="J246" s="417"/>
      <c r="K246" s="417">
        <v>0</v>
      </c>
      <c r="L246" s="833">
        <v>0</v>
      </c>
      <c r="M246" s="832"/>
      <c r="N246" s="417">
        <f>O246+P246</f>
        <v>0</v>
      </c>
      <c r="O246" s="417"/>
      <c r="P246" s="417"/>
      <c r="Q246" s="417">
        <f>R246+S246</f>
        <v>0</v>
      </c>
      <c r="R246" s="832"/>
      <c r="S246" s="832"/>
      <c r="T246" s="832"/>
      <c r="U246" s="834"/>
      <c r="V246" s="832"/>
      <c r="W246" s="834"/>
      <c r="X246" s="832"/>
      <c r="Y246" s="834"/>
      <c r="Z246" s="417">
        <f>AB246+AD246</f>
        <v>0</v>
      </c>
      <c r="AA246" s="834"/>
      <c r="AB246" s="832"/>
      <c r="AC246" s="834"/>
      <c r="AD246" s="832"/>
      <c r="AE246" s="417">
        <f>AF246+AG246</f>
        <v>0</v>
      </c>
      <c r="AF246" s="832"/>
      <c r="AG246" s="832"/>
      <c r="AH246" s="417">
        <f t="shared" si="656"/>
        <v>0</v>
      </c>
      <c r="AI246" s="832"/>
      <c r="AJ246" s="832"/>
      <c r="AK246" s="156">
        <f>AN246+AQ246</f>
        <v>0</v>
      </c>
      <c r="AL246" s="835" t="e">
        <f t="shared" si="666"/>
        <v>#DIV/0!</v>
      </c>
      <c r="AM246" s="835" t="e">
        <f t="shared" si="657"/>
        <v>#DIV/0!</v>
      </c>
      <c r="AN246" s="411"/>
      <c r="AO246" s="835" t="e">
        <f t="shared" si="658"/>
        <v>#DIV/0!</v>
      </c>
      <c r="AP246" s="835" t="e">
        <f>AN246/L246</f>
        <v>#DIV/0!</v>
      </c>
      <c r="AQ246" s="411"/>
      <c r="AR246" s="835" t="e">
        <f t="shared" si="665"/>
        <v>#DIV/0!</v>
      </c>
      <c r="AS246" s="835" t="e">
        <f t="shared" si="659"/>
        <v>#DIV/0!</v>
      </c>
      <c r="AT246" s="152">
        <f>AV246+AX246</f>
        <v>0</v>
      </c>
      <c r="AU246" s="836">
        <v>0</v>
      </c>
      <c r="AV246" s="411">
        <v>0</v>
      </c>
      <c r="AW246" s="836" t="e">
        <f t="shared" si="660"/>
        <v>#DIV/0!</v>
      </c>
      <c r="AX246" s="411"/>
      <c r="AY246" s="836" t="e">
        <f t="shared" si="661"/>
        <v>#DIV/0!</v>
      </c>
      <c r="AZ246" s="417">
        <f>BB246+BD246</f>
        <v>0</v>
      </c>
      <c r="BA246" s="417"/>
      <c r="BB246" s="417"/>
      <c r="BC246" s="417"/>
      <c r="BD246" s="417">
        <f>G246-AX246</f>
        <v>0</v>
      </c>
      <c r="BE246" s="417"/>
      <c r="BF246" s="417">
        <f t="shared" si="662"/>
        <v>0</v>
      </c>
      <c r="BG246" s="417"/>
      <c r="BH246" s="832"/>
      <c r="BI246" s="832"/>
      <c r="BJ246" s="832"/>
      <c r="BK246" s="832"/>
      <c r="BL246" s="417">
        <f t="shared" si="663"/>
        <v>0</v>
      </c>
      <c r="BM246" s="417"/>
      <c r="BN246" s="832"/>
      <c r="BO246" s="832"/>
      <c r="BP246" s="832"/>
      <c r="BQ246" s="832"/>
      <c r="BR246" s="417">
        <f>BT246+BV246</f>
        <v>0</v>
      </c>
      <c r="BS246" s="417"/>
      <c r="BT246" s="417">
        <f t="shared" ref="BT246:BT257" si="667">L246-BH246-BN246</f>
        <v>0</v>
      </c>
      <c r="BU246" s="417"/>
      <c r="BV246" s="417">
        <v>0</v>
      </c>
      <c r="BW246" s="417"/>
      <c r="BX246" s="417"/>
      <c r="BY246" s="834"/>
      <c r="BZ246" s="417">
        <f>CB246+CD246</f>
        <v>0</v>
      </c>
      <c r="CA246" s="834"/>
      <c r="CB246" s="832"/>
      <c r="CC246" s="834"/>
      <c r="CD246" s="832"/>
      <c r="CE246" s="834"/>
      <c r="CF246" s="417">
        <f>CG246+CH246</f>
        <v>0</v>
      </c>
      <c r="CG246" s="418"/>
      <c r="CH246" s="417">
        <f>CI246+CJ246</f>
        <v>0</v>
      </c>
      <c r="CI246" s="418"/>
      <c r="CJ246" s="417">
        <f>CK246+CL246</f>
        <v>0</v>
      </c>
      <c r="CK246" s="419"/>
    </row>
    <row r="247" spans="2:89" ht="21.75" hidden="1" customHeight="1">
      <c r="B247" s="826"/>
      <c r="C247" s="837" t="s">
        <v>395</v>
      </c>
      <c r="D247" s="838"/>
      <c r="E247" s="837">
        <f t="shared" si="653"/>
        <v>149017.70360000001</v>
      </c>
      <c r="F247" s="839">
        <v>149017.70360000001</v>
      </c>
      <c r="G247" s="839"/>
      <c r="H247" s="837">
        <f t="shared" si="654"/>
        <v>-149017.70360000001</v>
      </c>
      <c r="I247" s="837">
        <f>L247-F247</f>
        <v>-149017.70360000001</v>
      </c>
      <c r="J247" s="837"/>
      <c r="K247" s="837">
        <f>L247+M247</f>
        <v>0</v>
      </c>
      <c r="L247" s="840">
        <v>0</v>
      </c>
      <c r="M247" s="839"/>
      <c r="N247" s="837">
        <f>O247+P247</f>
        <v>0</v>
      </c>
      <c r="O247" s="837"/>
      <c r="P247" s="837"/>
      <c r="Q247" s="837">
        <f>R247+S247</f>
        <v>0</v>
      </c>
      <c r="R247" s="839"/>
      <c r="S247" s="839"/>
      <c r="T247" s="839"/>
      <c r="U247" s="841"/>
      <c r="V247" s="839"/>
      <c r="W247" s="841"/>
      <c r="X247" s="839"/>
      <c r="Y247" s="841"/>
      <c r="Z247" s="837">
        <f>AB247+AD247</f>
        <v>0</v>
      </c>
      <c r="AA247" s="841"/>
      <c r="AB247" s="839"/>
      <c r="AC247" s="841"/>
      <c r="AD247" s="839"/>
      <c r="AE247" s="837">
        <f>AF247+AG247</f>
        <v>0</v>
      </c>
      <c r="AF247" s="839"/>
      <c r="AG247" s="839"/>
      <c r="AH247" s="837">
        <f t="shared" si="656"/>
        <v>0</v>
      </c>
      <c r="AI247" s="839"/>
      <c r="AJ247" s="839"/>
      <c r="AK247" s="160">
        <f>AN247+AQ247</f>
        <v>0</v>
      </c>
      <c r="AL247" s="163" t="e">
        <f t="shared" si="666"/>
        <v>#DIV/0!</v>
      </c>
      <c r="AM247" s="163" t="e">
        <f t="shared" si="657"/>
        <v>#DIV/0!</v>
      </c>
      <c r="AN247" s="462"/>
      <c r="AO247" s="163" t="e">
        <f t="shared" si="658"/>
        <v>#DIV/0!</v>
      </c>
      <c r="AP247" s="163" t="e">
        <f>AN247/L247</f>
        <v>#DIV/0!</v>
      </c>
      <c r="AQ247" s="462"/>
      <c r="AR247" s="163" t="e">
        <f t="shared" si="665"/>
        <v>#DIV/0!</v>
      </c>
      <c r="AS247" s="163" t="e">
        <f t="shared" si="659"/>
        <v>#DIV/0!</v>
      </c>
      <c r="AT247" s="161">
        <f>AV247+AX247</f>
        <v>0</v>
      </c>
      <c r="AU247" s="822" t="e">
        <f t="shared" ref="AU247:AU257" si="668">AT247/K247</f>
        <v>#DIV/0!</v>
      </c>
      <c r="AV247" s="842">
        <v>0</v>
      </c>
      <c r="AW247" s="822" t="e">
        <f t="shared" si="660"/>
        <v>#DIV/0!</v>
      </c>
      <c r="AX247" s="842"/>
      <c r="AY247" s="756" t="e">
        <f t="shared" si="661"/>
        <v>#DIV/0!</v>
      </c>
      <c r="AZ247" s="435">
        <f>BB247+BD247</f>
        <v>0</v>
      </c>
      <c r="BA247" s="435"/>
      <c r="BB247" s="435"/>
      <c r="BC247" s="435"/>
      <c r="BD247" s="435">
        <f>G247-AX247</f>
        <v>0</v>
      </c>
      <c r="BE247" s="435"/>
      <c r="BF247" s="435">
        <f t="shared" si="662"/>
        <v>0</v>
      </c>
      <c r="BG247" s="435"/>
      <c r="BH247" s="843">
        <v>0</v>
      </c>
      <c r="BI247" s="843"/>
      <c r="BJ247" s="843"/>
      <c r="BK247" s="843"/>
      <c r="BL247" s="435">
        <f t="shared" si="663"/>
        <v>0</v>
      </c>
      <c r="BM247" s="435"/>
      <c r="BN247" s="843"/>
      <c r="BO247" s="843"/>
      <c r="BP247" s="843"/>
      <c r="BQ247" s="843"/>
      <c r="BR247" s="435">
        <f>BT247+BV247</f>
        <v>0</v>
      </c>
      <c r="BS247" s="435"/>
      <c r="BT247" s="435">
        <f t="shared" si="667"/>
        <v>0</v>
      </c>
      <c r="BU247" s="435"/>
      <c r="BV247" s="435">
        <v>0</v>
      </c>
      <c r="BW247" s="435"/>
      <c r="BX247" s="435"/>
      <c r="BY247" s="841"/>
      <c r="BZ247" s="837">
        <f>CB247+CD247</f>
        <v>0</v>
      </c>
      <c r="CA247" s="841"/>
      <c r="CB247" s="839"/>
      <c r="CC247" s="841"/>
      <c r="CD247" s="839"/>
      <c r="CE247" s="841"/>
      <c r="CF247" s="837">
        <f>CG247+CH247</f>
        <v>0</v>
      </c>
      <c r="CG247" s="393"/>
      <c r="CH247" s="837">
        <f>CI247+CJ247</f>
        <v>0</v>
      </c>
      <c r="CI247" s="393"/>
      <c r="CJ247" s="837">
        <f>CK247+CL247</f>
        <v>0</v>
      </c>
      <c r="CK247" s="394"/>
    </row>
    <row r="248" spans="2:89" ht="21.75" hidden="1" customHeight="1">
      <c r="B248" s="826"/>
      <c r="C248" s="173" t="s">
        <v>83</v>
      </c>
      <c r="D248" s="844"/>
      <c r="E248" s="440">
        <f t="shared" si="653"/>
        <v>18136.12025</v>
      </c>
      <c r="F248" s="845">
        <v>18136.12025</v>
      </c>
      <c r="G248" s="845"/>
      <c r="H248" s="440">
        <f t="shared" si="654"/>
        <v>-18136.12025</v>
      </c>
      <c r="I248" s="440">
        <f>L248-F248</f>
        <v>-18136.12025</v>
      </c>
      <c r="J248" s="440"/>
      <c r="K248" s="440">
        <f>L248+M248</f>
        <v>0</v>
      </c>
      <c r="L248" s="846"/>
      <c r="M248" s="845"/>
      <c r="N248" s="440">
        <f>O248+P248</f>
        <v>0</v>
      </c>
      <c r="O248" s="440"/>
      <c r="P248" s="440"/>
      <c r="Q248" s="440">
        <f>R248+S248</f>
        <v>0</v>
      </c>
      <c r="R248" s="845"/>
      <c r="S248" s="845"/>
      <c r="T248" s="845"/>
      <c r="U248" s="829"/>
      <c r="V248" s="845"/>
      <c r="W248" s="829"/>
      <c r="X248" s="845"/>
      <c r="Y248" s="829"/>
      <c r="Z248" s="440">
        <f>AB248+AD248</f>
        <v>0</v>
      </c>
      <c r="AA248" s="829"/>
      <c r="AB248" s="845"/>
      <c r="AC248" s="829"/>
      <c r="AD248" s="845"/>
      <c r="AE248" s="440">
        <f>AF248+AG248</f>
        <v>0</v>
      </c>
      <c r="AF248" s="845"/>
      <c r="AG248" s="845"/>
      <c r="AH248" s="440">
        <f t="shared" si="656"/>
        <v>0</v>
      </c>
      <c r="AI248" s="845"/>
      <c r="AJ248" s="845"/>
      <c r="AK248" s="175">
        <f>AN248+AQ248</f>
        <v>0</v>
      </c>
      <c r="AL248" s="163" t="e">
        <f t="shared" si="666"/>
        <v>#DIV/0!</v>
      </c>
      <c r="AM248" s="163" t="e">
        <f t="shared" si="657"/>
        <v>#DIV/0!</v>
      </c>
      <c r="AN248" s="847"/>
      <c r="AO248" s="707" t="e">
        <f t="shared" si="658"/>
        <v>#DIV/0!</v>
      </c>
      <c r="AP248" s="707" t="e">
        <f>AN248/L248</f>
        <v>#DIV/0!</v>
      </c>
      <c r="AQ248" s="847"/>
      <c r="AR248" s="163" t="e">
        <f t="shared" si="665"/>
        <v>#DIV/0!</v>
      </c>
      <c r="AS248" s="163" t="e">
        <f t="shared" si="659"/>
        <v>#DIV/0!</v>
      </c>
      <c r="AT248" s="176">
        <f>AV248+AX248</f>
        <v>0</v>
      </c>
      <c r="AU248" s="756" t="e">
        <f t="shared" si="668"/>
        <v>#DIV/0!</v>
      </c>
      <c r="AV248" s="847"/>
      <c r="AW248" s="822" t="e">
        <f t="shared" si="660"/>
        <v>#DIV/0!</v>
      </c>
      <c r="AX248" s="847"/>
      <c r="AY248" s="756" t="e">
        <f t="shared" si="661"/>
        <v>#DIV/0!</v>
      </c>
      <c r="AZ248" s="435">
        <f>BB248+BD248</f>
        <v>0</v>
      </c>
      <c r="BA248" s="435"/>
      <c r="BB248" s="435"/>
      <c r="BC248" s="435"/>
      <c r="BD248" s="435">
        <f>G248-AX248</f>
        <v>0</v>
      </c>
      <c r="BE248" s="435"/>
      <c r="BF248" s="440">
        <f t="shared" si="662"/>
        <v>0</v>
      </c>
      <c r="BG248" s="440"/>
      <c r="BH248" s="845">
        <v>0</v>
      </c>
      <c r="BI248" s="845"/>
      <c r="BJ248" s="845"/>
      <c r="BK248" s="845"/>
      <c r="BL248" s="440">
        <f t="shared" si="663"/>
        <v>0</v>
      </c>
      <c r="BM248" s="440"/>
      <c r="BN248" s="845"/>
      <c r="BO248" s="845"/>
      <c r="BP248" s="845"/>
      <c r="BQ248" s="845"/>
      <c r="BR248" s="440">
        <f>BT248+BV248</f>
        <v>0</v>
      </c>
      <c r="BS248" s="440"/>
      <c r="BT248" s="435">
        <f t="shared" si="667"/>
        <v>0</v>
      </c>
      <c r="BU248" s="435"/>
      <c r="BV248" s="435">
        <v>0</v>
      </c>
      <c r="BW248" s="435"/>
      <c r="BX248" s="435"/>
      <c r="BY248" s="829"/>
      <c r="BZ248" s="440">
        <f>CB248+CD248</f>
        <v>0</v>
      </c>
      <c r="CA248" s="829"/>
      <c r="CB248" s="845"/>
      <c r="CC248" s="829"/>
      <c r="CD248" s="845"/>
      <c r="CE248" s="829"/>
      <c r="CF248" s="440">
        <f>CG248+CH248</f>
        <v>0</v>
      </c>
      <c r="CG248" s="393"/>
      <c r="CH248" s="440">
        <f>CI248+CJ248</f>
        <v>0</v>
      </c>
      <c r="CI248" s="393"/>
      <c r="CJ248" s="440">
        <f>CK248+CL248</f>
        <v>0</v>
      </c>
      <c r="CK248" s="394"/>
    </row>
    <row r="249" spans="2:89" ht="32.25" hidden="1" customHeight="1">
      <c r="B249" s="710"/>
      <c r="C249" s="708"/>
      <c r="D249" s="739"/>
      <c r="E249" s="175"/>
      <c r="F249" s="175"/>
      <c r="G249" s="175"/>
      <c r="H249" s="175"/>
      <c r="I249" s="175"/>
      <c r="J249" s="175"/>
      <c r="K249" s="176"/>
      <c r="L249" s="176"/>
      <c r="M249" s="176"/>
      <c r="N249" s="176"/>
      <c r="O249" s="176"/>
      <c r="P249" s="176"/>
      <c r="Q249" s="176"/>
      <c r="R249" s="176"/>
      <c r="S249" s="176"/>
      <c r="T249" s="176"/>
      <c r="U249" s="631"/>
      <c r="V249" s="176"/>
      <c r="W249" s="631"/>
      <c r="X249" s="176"/>
      <c r="Y249" s="631"/>
      <c r="Z249" s="176"/>
      <c r="AA249" s="631"/>
      <c r="AB249" s="176"/>
      <c r="AC249" s="631"/>
      <c r="AD249" s="176"/>
      <c r="AE249" s="176"/>
      <c r="AF249" s="176"/>
      <c r="AG249" s="176"/>
      <c r="AH249" s="176"/>
      <c r="AI249" s="176"/>
      <c r="AJ249" s="176"/>
      <c r="AK249" s="176"/>
      <c r="AL249" s="577" t="e">
        <f t="shared" si="666"/>
        <v>#DIV/0!</v>
      </c>
      <c r="AM249" s="577" t="e">
        <f t="shared" si="657"/>
        <v>#DIV/0!</v>
      </c>
      <c r="AN249" s="176"/>
      <c r="AO249" s="848"/>
      <c r="AP249" s="848"/>
      <c r="AQ249" s="176"/>
      <c r="AR249" s="163" t="e">
        <f t="shared" si="665"/>
        <v>#DIV/0!</v>
      </c>
      <c r="AS249" s="163" t="e">
        <f t="shared" si="659"/>
        <v>#DIV/0!</v>
      </c>
      <c r="AT249" s="176"/>
      <c r="AU249" s="756" t="e">
        <f t="shared" si="668"/>
        <v>#DIV/0!</v>
      </c>
      <c r="AV249" s="176"/>
      <c r="AW249" s="822" t="e">
        <f t="shared" si="660"/>
        <v>#DIV/0!</v>
      </c>
      <c r="AX249" s="176"/>
      <c r="AY249" s="756" t="e">
        <f t="shared" si="661"/>
        <v>#DIV/0!</v>
      </c>
      <c r="AZ249" s="435"/>
      <c r="BA249" s="435"/>
      <c r="BB249" s="435"/>
      <c r="BC249" s="435"/>
      <c r="BD249" s="435"/>
      <c r="BE249" s="435"/>
      <c r="BF249" s="175"/>
      <c r="BG249" s="175"/>
      <c r="BH249" s="175"/>
      <c r="BI249" s="175"/>
      <c r="BJ249" s="175"/>
      <c r="BK249" s="175"/>
      <c r="BL249" s="175"/>
      <c r="BM249" s="175"/>
      <c r="BN249" s="175"/>
      <c r="BO249" s="175"/>
      <c r="BP249" s="176"/>
      <c r="BQ249" s="176"/>
      <c r="BR249" s="176"/>
      <c r="BS249" s="176"/>
      <c r="BT249" s="435">
        <f t="shared" si="667"/>
        <v>0</v>
      </c>
      <c r="BU249" s="435"/>
      <c r="BV249" s="176"/>
      <c r="BW249" s="176"/>
      <c r="BX249" s="175"/>
      <c r="BY249" s="631"/>
      <c r="BZ249" s="176"/>
      <c r="CA249" s="631"/>
      <c r="CB249" s="176"/>
      <c r="CC249" s="631"/>
      <c r="CD249" s="176"/>
      <c r="CE249" s="631"/>
      <c r="CF249" s="176"/>
      <c r="CG249" s="393"/>
      <c r="CH249" s="176"/>
      <c r="CI249" s="393"/>
      <c r="CJ249" s="176"/>
      <c r="CK249" s="394"/>
    </row>
    <row r="250" spans="2:89" ht="15" hidden="1" customHeight="1">
      <c r="B250" s="710"/>
      <c r="C250" s="708"/>
      <c r="D250" s="739"/>
      <c r="E250" s="175"/>
      <c r="F250" s="175"/>
      <c r="G250" s="175"/>
      <c r="H250" s="175"/>
      <c r="I250" s="175"/>
      <c r="J250" s="175"/>
      <c r="K250" s="176"/>
      <c r="L250" s="176"/>
      <c r="M250" s="176"/>
      <c r="N250" s="176"/>
      <c r="O250" s="176"/>
      <c r="P250" s="176"/>
      <c r="Q250" s="176"/>
      <c r="R250" s="176"/>
      <c r="S250" s="176"/>
      <c r="T250" s="176"/>
      <c r="U250" s="631"/>
      <c r="V250" s="176"/>
      <c r="W250" s="631"/>
      <c r="X250" s="176"/>
      <c r="Y250" s="631"/>
      <c r="Z250" s="176"/>
      <c r="AA250" s="631"/>
      <c r="AB250" s="176"/>
      <c r="AC250" s="631"/>
      <c r="AD250" s="176"/>
      <c r="AE250" s="176"/>
      <c r="AF250" s="176"/>
      <c r="AG250" s="176"/>
      <c r="AH250" s="176"/>
      <c r="AI250" s="176"/>
      <c r="AJ250" s="176"/>
      <c r="AK250" s="176"/>
      <c r="AL250" s="577" t="e">
        <f t="shared" si="666"/>
        <v>#DIV/0!</v>
      </c>
      <c r="AM250" s="577" t="e">
        <f t="shared" si="657"/>
        <v>#DIV/0!</v>
      </c>
      <c r="AN250" s="176"/>
      <c r="AO250" s="848"/>
      <c r="AP250" s="848"/>
      <c r="AQ250" s="176"/>
      <c r="AR250" s="163" t="e">
        <f t="shared" si="665"/>
        <v>#DIV/0!</v>
      </c>
      <c r="AS250" s="163" t="e">
        <f t="shared" si="659"/>
        <v>#DIV/0!</v>
      </c>
      <c r="AT250" s="176"/>
      <c r="AU250" s="756" t="e">
        <f t="shared" si="668"/>
        <v>#DIV/0!</v>
      </c>
      <c r="AV250" s="176"/>
      <c r="AW250" s="822" t="e">
        <f t="shared" si="660"/>
        <v>#DIV/0!</v>
      </c>
      <c r="AX250" s="176"/>
      <c r="AY250" s="756" t="e">
        <f t="shared" si="661"/>
        <v>#DIV/0!</v>
      </c>
      <c r="AZ250" s="435"/>
      <c r="BA250" s="435"/>
      <c r="BB250" s="435"/>
      <c r="BC250" s="435"/>
      <c r="BD250" s="435"/>
      <c r="BE250" s="435"/>
      <c r="BF250" s="175"/>
      <c r="BG250" s="175"/>
      <c r="BH250" s="175"/>
      <c r="BI250" s="175"/>
      <c r="BJ250" s="175"/>
      <c r="BK250" s="175"/>
      <c r="BL250" s="175"/>
      <c r="BM250" s="175"/>
      <c r="BN250" s="175"/>
      <c r="BO250" s="175"/>
      <c r="BP250" s="176"/>
      <c r="BQ250" s="176"/>
      <c r="BR250" s="176"/>
      <c r="BS250" s="176"/>
      <c r="BT250" s="435">
        <f t="shared" si="667"/>
        <v>0</v>
      </c>
      <c r="BU250" s="435"/>
      <c r="BV250" s="176"/>
      <c r="BW250" s="176"/>
      <c r="BX250" s="175"/>
      <c r="BY250" s="631"/>
      <c r="BZ250" s="176"/>
      <c r="CA250" s="631"/>
      <c r="CB250" s="176"/>
      <c r="CC250" s="631"/>
      <c r="CD250" s="176"/>
      <c r="CE250" s="631"/>
      <c r="CF250" s="176"/>
      <c r="CG250" s="393"/>
      <c r="CH250" s="176"/>
      <c r="CI250" s="393"/>
      <c r="CJ250" s="176"/>
      <c r="CK250" s="394"/>
    </row>
    <row r="251" spans="2:89" ht="15" hidden="1" customHeight="1">
      <c r="B251" s="710"/>
      <c r="C251" s="708"/>
      <c r="D251" s="739"/>
      <c r="E251" s="175"/>
      <c r="F251" s="175"/>
      <c r="G251" s="175"/>
      <c r="H251" s="175"/>
      <c r="I251" s="175"/>
      <c r="J251" s="175"/>
      <c r="K251" s="176"/>
      <c r="L251" s="176"/>
      <c r="M251" s="176"/>
      <c r="N251" s="176"/>
      <c r="O251" s="176"/>
      <c r="P251" s="176"/>
      <c r="Q251" s="176"/>
      <c r="R251" s="176"/>
      <c r="S251" s="176"/>
      <c r="T251" s="176"/>
      <c r="U251" s="631"/>
      <c r="V251" s="176"/>
      <c r="W251" s="631"/>
      <c r="X251" s="176"/>
      <c r="Y251" s="631"/>
      <c r="Z251" s="176"/>
      <c r="AA251" s="631"/>
      <c r="AB251" s="176"/>
      <c r="AC251" s="631"/>
      <c r="AD251" s="176"/>
      <c r="AE251" s="176"/>
      <c r="AF251" s="176"/>
      <c r="AG251" s="176"/>
      <c r="AH251" s="176"/>
      <c r="AI251" s="176"/>
      <c r="AJ251" s="176"/>
      <c r="AK251" s="176"/>
      <c r="AL251" s="577" t="e">
        <f t="shared" si="666"/>
        <v>#DIV/0!</v>
      </c>
      <c r="AM251" s="577" t="e">
        <f t="shared" si="657"/>
        <v>#DIV/0!</v>
      </c>
      <c r="AN251" s="176"/>
      <c r="AO251" s="848"/>
      <c r="AP251" s="848"/>
      <c r="AQ251" s="176"/>
      <c r="AR251" s="163" t="e">
        <f t="shared" si="665"/>
        <v>#DIV/0!</v>
      </c>
      <c r="AS251" s="163" t="e">
        <f t="shared" si="659"/>
        <v>#DIV/0!</v>
      </c>
      <c r="AT251" s="176"/>
      <c r="AU251" s="756" t="e">
        <f t="shared" si="668"/>
        <v>#DIV/0!</v>
      </c>
      <c r="AV251" s="176"/>
      <c r="AW251" s="822" t="e">
        <f t="shared" si="660"/>
        <v>#DIV/0!</v>
      </c>
      <c r="AX251" s="176"/>
      <c r="AY251" s="756" t="e">
        <f t="shared" si="661"/>
        <v>#DIV/0!</v>
      </c>
      <c r="AZ251" s="435"/>
      <c r="BA251" s="435"/>
      <c r="BB251" s="435"/>
      <c r="BC251" s="435"/>
      <c r="BD251" s="435"/>
      <c r="BE251" s="435"/>
      <c r="BF251" s="175"/>
      <c r="BG251" s="175"/>
      <c r="BH251" s="175"/>
      <c r="BI251" s="175"/>
      <c r="BJ251" s="175"/>
      <c r="BK251" s="175"/>
      <c r="BL251" s="175"/>
      <c r="BM251" s="175"/>
      <c r="BN251" s="175"/>
      <c r="BO251" s="175"/>
      <c r="BP251" s="176"/>
      <c r="BQ251" s="176"/>
      <c r="BR251" s="176"/>
      <c r="BS251" s="176"/>
      <c r="BT251" s="435">
        <f t="shared" si="667"/>
        <v>0</v>
      </c>
      <c r="BU251" s="435"/>
      <c r="BV251" s="176"/>
      <c r="BW251" s="176"/>
      <c r="BX251" s="175"/>
      <c r="BY251" s="631"/>
      <c r="BZ251" s="176"/>
      <c r="CA251" s="631"/>
      <c r="CB251" s="176"/>
      <c r="CC251" s="631"/>
      <c r="CD251" s="176"/>
      <c r="CE251" s="631"/>
      <c r="CF251" s="176"/>
      <c r="CG251" s="393"/>
      <c r="CH251" s="176"/>
      <c r="CI251" s="393"/>
      <c r="CJ251" s="176"/>
      <c r="CK251" s="394"/>
    </row>
    <row r="252" spans="2:89" ht="33.75" hidden="1" customHeight="1">
      <c r="B252" s="710"/>
      <c r="C252" s="708"/>
      <c r="D252" s="739"/>
      <c r="E252" s="175"/>
      <c r="F252" s="175"/>
      <c r="G252" s="175"/>
      <c r="H252" s="175"/>
      <c r="I252" s="175"/>
      <c r="J252" s="175"/>
      <c r="K252" s="176"/>
      <c r="L252" s="176"/>
      <c r="M252" s="176"/>
      <c r="N252" s="176"/>
      <c r="O252" s="176"/>
      <c r="P252" s="176"/>
      <c r="Q252" s="176"/>
      <c r="R252" s="176"/>
      <c r="S252" s="176"/>
      <c r="T252" s="176"/>
      <c r="U252" s="631"/>
      <c r="V252" s="176"/>
      <c r="W252" s="631"/>
      <c r="X252" s="176"/>
      <c r="Y252" s="631"/>
      <c r="Z252" s="176"/>
      <c r="AA252" s="631"/>
      <c r="AB252" s="176"/>
      <c r="AC252" s="631"/>
      <c r="AD252" s="176"/>
      <c r="AE252" s="176"/>
      <c r="AF252" s="176"/>
      <c r="AG252" s="176"/>
      <c r="AH252" s="176"/>
      <c r="AI252" s="176"/>
      <c r="AJ252" s="176"/>
      <c r="AK252" s="176"/>
      <c r="AL252" s="577" t="e">
        <f t="shared" si="666"/>
        <v>#DIV/0!</v>
      </c>
      <c r="AM252" s="577" t="e">
        <f t="shared" si="657"/>
        <v>#DIV/0!</v>
      </c>
      <c r="AN252" s="176"/>
      <c r="AO252" s="848"/>
      <c r="AP252" s="848"/>
      <c r="AQ252" s="176"/>
      <c r="AR252" s="163" t="e">
        <f t="shared" si="665"/>
        <v>#DIV/0!</v>
      </c>
      <c r="AS252" s="163" t="e">
        <f t="shared" si="659"/>
        <v>#DIV/0!</v>
      </c>
      <c r="AT252" s="176"/>
      <c r="AU252" s="756" t="e">
        <f t="shared" si="668"/>
        <v>#DIV/0!</v>
      </c>
      <c r="AV252" s="176"/>
      <c r="AW252" s="822" t="e">
        <f t="shared" si="660"/>
        <v>#DIV/0!</v>
      </c>
      <c r="AX252" s="176"/>
      <c r="AY252" s="756" t="e">
        <f t="shared" si="661"/>
        <v>#DIV/0!</v>
      </c>
      <c r="AZ252" s="435"/>
      <c r="BA252" s="435"/>
      <c r="BB252" s="435"/>
      <c r="BC252" s="435"/>
      <c r="BD252" s="435"/>
      <c r="BE252" s="435"/>
      <c r="BF252" s="175"/>
      <c r="BG252" s="175"/>
      <c r="BH252" s="175"/>
      <c r="BI252" s="175"/>
      <c r="BJ252" s="175"/>
      <c r="BK252" s="175"/>
      <c r="BL252" s="175"/>
      <c r="BM252" s="175"/>
      <c r="BN252" s="175"/>
      <c r="BO252" s="175"/>
      <c r="BP252" s="176"/>
      <c r="BQ252" s="176"/>
      <c r="BR252" s="176"/>
      <c r="BS252" s="176"/>
      <c r="BT252" s="435">
        <f t="shared" si="667"/>
        <v>0</v>
      </c>
      <c r="BU252" s="435"/>
      <c r="BV252" s="176"/>
      <c r="BW252" s="176"/>
      <c r="BX252" s="175"/>
      <c r="BY252" s="631"/>
      <c r="BZ252" s="176"/>
      <c r="CA252" s="631"/>
      <c r="CB252" s="176"/>
      <c r="CC252" s="631"/>
      <c r="CD252" s="176"/>
      <c r="CE252" s="631"/>
      <c r="CF252" s="176"/>
      <c r="CG252" s="393"/>
      <c r="CH252" s="176"/>
      <c r="CI252" s="393"/>
      <c r="CJ252" s="176"/>
      <c r="CK252" s="394"/>
    </row>
    <row r="253" spans="2:89" ht="15" hidden="1" customHeight="1">
      <c r="B253" s="710"/>
      <c r="C253" s="708"/>
      <c r="D253" s="739"/>
      <c r="E253" s="175"/>
      <c r="F253" s="175"/>
      <c r="G253" s="175"/>
      <c r="H253" s="175"/>
      <c r="I253" s="440"/>
      <c r="J253" s="440"/>
      <c r="K253" s="176"/>
      <c r="L253" s="176"/>
      <c r="M253" s="176"/>
      <c r="N253" s="176"/>
      <c r="O253" s="178"/>
      <c r="P253" s="178"/>
      <c r="Q253" s="176"/>
      <c r="R253" s="176"/>
      <c r="S253" s="176"/>
      <c r="T253" s="176"/>
      <c r="U253" s="631"/>
      <c r="V253" s="176"/>
      <c r="W253" s="631"/>
      <c r="X253" s="176"/>
      <c r="Y253" s="631"/>
      <c r="Z253" s="176"/>
      <c r="AA253" s="631"/>
      <c r="AB253" s="176"/>
      <c r="AC253" s="631"/>
      <c r="AD253" s="176"/>
      <c r="AE253" s="176"/>
      <c r="AF253" s="176"/>
      <c r="AG253" s="176"/>
      <c r="AH253" s="176"/>
      <c r="AI253" s="176"/>
      <c r="AJ253" s="176"/>
      <c r="AK253" s="176"/>
      <c r="AL253" s="577" t="e">
        <f t="shared" si="666"/>
        <v>#DIV/0!</v>
      </c>
      <c r="AM253" s="577" t="e">
        <f t="shared" si="657"/>
        <v>#DIV/0!</v>
      </c>
      <c r="AN253" s="176"/>
      <c r="AO253" s="848"/>
      <c r="AP253" s="848"/>
      <c r="AQ253" s="176"/>
      <c r="AR253" s="163" t="e">
        <f t="shared" si="665"/>
        <v>#DIV/0!</v>
      </c>
      <c r="AS253" s="163" t="e">
        <f t="shared" si="659"/>
        <v>#DIV/0!</v>
      </c>
      <c r="AT253" s="176"/>
      <c r="AU253" s="756" t="e">
        <f t="shared" si="668"/>
        <v>#DIV/0!</v>
      </c>
      <c r="AV253" s="176"/>
      <c r="AW253" s="822" t="e">
        <f t="shared" si="660"/>
        <v>#DIV/0!</v>
      </c>
      <c r="AX253" s="176"/>
      <c r="AY253" s="756" t="e">
        <f t="shared" si="661"/>
        <v>#DIV/0!</v>
      </c>
      <c r="AZ253" s="435"/>
      <c r="BA253" s="435"/>
      <c r="BB253" s="435"/>
      <c r="BC253" s="435"/>
      <c r="BD253" s="435"/>
      <c r="BE253" s="435"/>
      <c r="BF253" s="175"/>
      <c r="BG253" s="175"/>
      <c r="BH253" s="175"/>
      <c r="BI253" s="175"/>
      <c r="BJ253" s="175"/>
      <c r="BK253" s="175"/>
      <c r="BL253" s="175"/>
      <c r="BM253" s="175"/>
      <c r="BN253" s="175"/>
      <c r="BO253" s="175"/>
      <c r="BP253" s="176"/>
      <c r="BQ253" s="176"/>
      <c r="BR253" s="176"/>
      <c r="BS253" s="176"/>
      <c r="BT253" s="435">
        <f t="shared" si="667"/>
        <v>0</v>
      </c>
      <c r="BU253" s="435"/>
      <c r="BV253" s="436"/>
      <c r="BW253" s="436"/>
      <c r="BX253" s="175"/>
      <c r="BY253" s="631"/>
      <c r="BZ253" s="176"/>
      <c r="CA253" s="631"/>
      <c r="CB253" s="176"/>
      <c r="CC253" s="631"/>
      <c r="CD253" s="176"/>
      <c r="CE253" s="631"/>
      <c r="CF253" s="176"/>
      <c r="CG253" s="393"/>
      <c r="CH253" s="176"/>
      <c r="CI253" s="393"/>
      <c r="CJ253" s="176"/>
      <c r="CK253" s="394"/>
    </row>
    <row r="254" spans="2:89" ht="15" hidden="1" customHeight="1">
      <c r="B254" s="710"/>
      <c r="C254" s="708"/>
      <c r="D254" s="739"/>
      <c r="E254" s="175"/>
      <c r="F254" s="175"/>
      <c r="G254" s="175"/>
      <c r="H254" s="175"/>
      <c r="I254" s="440"/>
      <c r="J254" s="440"/>
      <c r="K254" s="176"/>
      <c r="L254" s="176"/>
      <c r="M254" s="176"/>
      <c r="N254" s="176"/>
      <c r="O254" s="178"/>
      <c r="P254" s="178"/>
      <c r="Q254" s="176"/>
      <c r="R254" s="176"/>
      <c r="S254" s="176"/>
      <c r="T254" s="176"/>
      <c r="U254" s="631"/>
      <c r="V254" s="176"/>
      <c r="W254" s="631"/>
      <c r="X254" s="176"/>
      <c r="Y254" s="631"/>
      <c r="Z254" s="176"/>
      <c r="AA254" s="631"/>
      <c r="AB254" s="176"/>
      <c r="AC254" s="631"/>
      <c r="AD254" s="176"/>
      <c r="AE254" s="176"/>
      <c r="AF254" s="176"/>
      <c r="AG254" s="176"/>
      <c r="AH254" s="176"/>
      <c r="AI254" s="176"/>
      <c r="AJ254" s="176"/>
      <c r="AK254" s="176"/>
      <c r="AL254" s="577" t="e">
        <f t="shared" si="666"/>
        <v>#DIV/0!</v>
      </c>
      <c r="AM254" s="577" t="e">
        <f t="shared" si="657"/>
        <v>#DIV/0!</v>
      </c>
      <c r="AN254" s="176"/>
      <c r="AO254" s="848"/>
      <c r="AP254" s="848"/>
      <c r="AQ254" s="176"/>
      <c r="AR254" s="163" t="e">
        <f t="shared" si="665"/>
        <v>#DIV/0!</v>
      </c>
      <c r="AS254" s="163" t="e">
        <f t="shared" si="659"/>
        <v>#DIV/0!</v>
      </c>
      <c r="AT254" s="176"/>
      <c r="AU254" s="756" t="e">
        <f t="shared" si="668"/>
        <v>#DIV/0!</v>
      </c>
      <c r="AV254" s="176"/>
      <c r="AW254" s="822" t="e">
        <f t="shared" si="660"/>
        <v>#DIV/0!</v>
      </c>
      <c r="AX254" s="176"/>
      <c r="AY254" s="756" t="e">
        <f t="shared" si="661"/>
        <v>#DIV/0!</v>
      </c>
      <c r="AZ254" s="435"/>
      <c r="BA254" s="435"/>
      <c r="BB254" s="435"/>
      <c r="BC254" s="435"/>
      <c r="BD254" s="435"/>
      <c r="BE254" s="435"/>
      <c r="BF254" s="175"/>
      <c r="BG254" s="175"/>
      <c r="BH254" s="175"/>
      <c r="BI254" s="175"/>
      <c r="BJ254" s="175"/>
      <c r="BK254" s="175"/>
      <c r="BL254" s="175"/>
      <c r="BM254" s="175"/>
      <c r="BN254" s="175"/>
      <c r="BO254" s="175"/>
      <c r="BP254" s="176"/>
      <c r="BQ254" s="176"/>
      <c r="BR254" s="176"/>
      <c r="BS254" s="176"/>
      <c r="BT254" s="435">
        <f t="shared" si="667"/>
        <v>0</v>
      </c>
      <c r="BU254" s="435"/>
      <c r="BV254" s="436"/>
      <c r="BW254" s="436"/>
      <c r="BX254" s="175"/>
      <c r="BY254" s="631"/>
      <c r="BZ254" s="176"/>
      <c r="CA254" s="631"/>
      <c r="CB254" s="176"/>
      <c r="CC254" s="631"/>
      <c r="CD254" s="176"/>
      <c r="CE254" s="631"/>
      <c r="CF254" s="176"/>
      <c r="CG254" s="393"/>
      <c r="CH254" s="176"/>
      <c r="CI254" s="393"/>
      <c r="CJ254" s="176"/>
      <c r="CK254" s="394"/>
    </row>
    <row r="255" spans="2:89" ht="31.5" hidden="1" customHeight="1">
      <c r="B255" s="710"/>
      <c r="C255" s="708"/>
      <c r="D255" s="739"/>
      <c r="E255" s="175"/>
      <c r="F255" s="175"/>
      <c r="G255" s="175"/>
      <c r="H255" s="175"/>
      <c r="I255" s="175"/>
      <c r="J255" s="175"/>
      <c r="K255" s="176"/>
      <c r="L255" s="176"/>
      <c r="M255" s="176"/>
      <c r="N255" s="176"/>
      <c r="O255" s="176"/>
      <c r="P255" s="176"/>
      <c r="Q255" s="176"/>
      <c r="R255" s="176"/>
      <c r="S255" s="176"/>
      <c r="T255" s="176"/>
      <c r="U255" s="631"/>
      <c r="V255" s="176"/>
      <c r="W255" s="631"/>
      <c r="X255" s="176"/>
      <c r="Y255" s="631"/>
      <c r="Z255" s="176"/>
      <c r="AA255" s="631"/>
      <c r="AB255" s="176"/>
      <c r="AC255" s="631"/>
      <c r="AD255" s="176"/>
      <c r="AE255" s="176"/>
      <c r="AF255" s="176"/>
      <c r="AG255" s="176"/>
      <c r="AH255" s="176"/>
      <c r="AI255" s="176"/>
      <c r="AJ255" s="176"/>
      <c r="AK255" s="176"/>
      <c r="AL255" s="577" t="e">
        <f t="shared" si="666"/>
        <v>#DIV/0!</v>
      </c>
      <c r="AM255" s="577" t="e">
        <f t="shared" si="657"/>
        <v>#DIV/0!</v>
      </c>
      <c r="AN255" s="176"/>
      <c r="AO255" s="848"/>
      <c r="AP255" s="848"/>
      <c r="AQ255" s="176"/>
      <c r="AR255" s="163" t="e">
        <f t="shared" si="665"/>
        <v>#DIV/0!</v>
      </c>
      <c r="AS255" s="163" t="e">
        <f t="shared" si="659"/>
        <v>#DIV/0!</v>
      </c>
      <c r="AT255" s="176"/>
      <c r="AU255" s="756" t="e">
        <f t="shared" si="668"/>
        <v>#DIV/0!</v>
      </c>
      <c r="AV255" s="176"/>
      <c r="AW255" s="822" t="e">
        <f t="shared" si="660"/>
        <v>#DIV/0!</v>
      </c>
      <c r="AX255" s="176"/>
      <c r="AY255" s="756" t="e">
        <f t="shared" si="661"/>
        <v>#DIV/0!</v>
      </c>
      <c r="AZ255" s="435"/>
      <c r="BA255" s="435"/>
      <c r="BB255" s="435"/>
      <c r="BC255" s="435"/>
      <c r="BD255" s="435"/>
      <c r="BE255" s="435"/>
      <c r="BF255" s="175"/>
      <c r="BG255" s="175"/>
      <c r="BH255" s="175"/>
      <c r="BI255" s="175"/>
      <c r="BJ255" s="175"/>
      <c r="BK255" s="175"/>
      <c r="BL255" s="175"/>
      <c r="BM255" s="175"/>
      <c r="BN255" s="175"/>
      <c r="BO255" s="175"/>
      <c r="BP255" s="176"/>
      <c r="BQ255" s="176"/>
      <c r="BR255" s="176"/>
      <c r="BS255" s="176"/>
      <c r="BT255" s="435">
        <f t="shared" si="667"/>
        <v>0</v>
      </c>
      <c r="BU255" s="435"/>
      <c r="BV255" s="176"/>
      <c r="BW255" s="176"/>
      <c r="BX255" s="175"/>
      <c r="BY255" s="631"/>
      <c r="BZ255" s="176"/>
      <c r="CA255" s="631"/>
      <c r="CB255" s="176"/>
      <c r="CC255" s="631"/>
      <c r="CD255" s="176"/>
      <c r="CE255" s="631"/>
      <c r="CF255" s="176"/>
      <c r="CG255" s="393"/>
      <c r="CH255" s="176"/>
      <c r="CI255" s="393"/>
      <c r="CJ255" s="176"/>
      <c r="CK255" s="394"/>
    </row>
    <row r="256" spans="2:89" ht="20.25" hidden="1" customHeight="1">
      <c r="B256" s="710"/>
      <c r="C256" s="708"/>
      <c r="D256" s="739"/>
      <c r="E256" s="175"/>
      <c r="F256" s="175"/>
      <c r="G256" s="175"/>
      <c r="H256" s="175"/>
      <c r="I256" s="440"/>
      <c r="J256" s="440"/>
      <c r="K256" s="176"/>
      <c r="L256" s="176"/>
      <c r="M256" s="176"/>
      <c r="N256" s="176"/>
      <c r="O256" s="178"/>
      <c r="P256" s="178"/>
      <c r="Q256" s="176"/>
      <c r="R256" s="176"/>
      <c r="S256" s="176"/>
      <c r="T256" s="176"/>
      <c r="U256" s="631"/>
      <c r="V256" s="176"/>
      <c r="W256" s="631"/>
      <c r="X256" s="176"/>
      <c r="Y256" s="631"/>
      <c r="Z256" s="176"/>
      <c r="AA256" s="631"/>
      <c r="AB256" s="176"/>
      <c r="AC256" s="631"/>
      <c r="AD256" s="176"/>
      <c r="AE256" s="176"/>
      <c r="AF256" s="176"/>
      <c r="AG256" s="176"/>
      <c r="AH256" s="176"/>
      <c r="AI256" s="176"/>
      <c r="AJ256" s="176"/>
      <c r="AK256" s="176"/>
      <c r="AL256" s="577" t="e">
        <f t="shared" si="666"/>
        <v>#DIV/0!</v>
      </c>
      <c r="AM256" s="577" t="e">
        <f t="shared" si="657"/>
        <v>#DIV/0!</v>
      </c>
      <c r="AN256" s="176"/>
      <c r="AO256" s="848"/>
      <c r="AP256" s="848"/>
      <c r="AQ256" s="176"/>
      <c r="AR256" s="163" t="e">
        <f t="shared" si="665"/>
        <v>#DIV/0!</v>
      </c>
      <c r="AS256" s="163" t="e">
        <f t="shared" si="659"/>
        <v>#DIV/0!</v>
      </c>
      <c r="AT256" s="176"/>
      <c r="AU256" s="756" t="e">
        <f t="shared" si="668"/>
        <v>#DIV/0!</v>
      </c>
      <c r="AV256" s="176"/>
      <c r="AW256" s="822" t="e">
        <f t="shared" si="660"/>
        <v>#DIV/0!</v>
      </c>
      <c r="AX256" s="176"/>
      <c r="AY256" s="756" t="e">
        <f t="shared" si="661"/>
        <v>#DIV/0!</v>
      </c>
      <c r="AZ256" s="435"/>
      <c r="BA256" s="435"/>
      <c r="BB256" s="435"/>
      <c r="BC256" s="435"/>
      <c r="BD256" s="435"/>
      <c r="BE256" s="435"/>
      <c r="BF256" s="175"/>
      <c r="BG256" s="175"/>
      <c r="BH256" s="175"/>
      <c r="BI256" s="175"/>
      <c r="BJ256" s="175"/>
      <c r="BK256" s="175"/>
      <c r="BL256" s="175"/>
      <c r="BM256" s="175"/>
      <c r="BN256" s="175"/>
      <c r="BO256" s="175"/>
      <c r="BP256" s="176"/>
      <c r="BQ256" s="176"/>
      <c r="BR256" s="176"/>
      <c r="BS256" s="176"/>
      <c r="BT256" s="435">
        <f t="shared" si="667"/>
        <v>0</v>
      </c>
      <c r="BU256" s="435"/>
      <c r="BV256" s="436"/>
      <c r="BW256" s="436"/>
      <c r="BX256" s="175"/>
      <c r="BY256" s="631"/>
      <c r="BZ256" s="176"/>
      <c r="CA256" s="631"/>
      <c r="CB256" s="176"/>
      <c r="CC256" s="631"/>
      <c r="CD256" s="176"/>
      <c r="CE256" s="631"/>
      <c r="CF256" s="176"/>
      <c r="CG256" s="393"/>
      <c r="CH256" s="176"/>
      <c r="CI256" s="393"/>
      <c r="CJ256" s="176"/>
      <c r="CK256" s="394"/>
    </row>
    <row r="257" spans="2:89" ht="18.75" hidden="1" customHeight="1">
      <c r="B257" s="710"/>
      <c r="C257" s="708"/>
      <c r="D257" s="739"/>
      <c r="E257" s="175"/>
      <c r="F257" s="175"/>
      <c r="G257" s="175"/>
      <c r="H257" s="175"/>
      <c r="I257" s="440"/>
      <c r="J257" s="440"/>
      <c r="K257" s="176"/>
      <c r="L257" s="176"/>
      <c r="M257" s="176"/>
      <c r="N257" s="176"/>
      <c r="O257" s="178"/>
      <c r="P257" s="178"/>
      <c r="Q257" s="176"/>
      <c r="R257" s="176"/>
      <c r="S257" s="176"/>
      <c r="T257" s="176"/>
      <c r="U257" s="631"/>
      <c r="V257" s="176"/>
      <c r="W257" s="631"/>
      <c r="X257" s="176"/>
      <c r="Y257" s="631"/>
      <c r="Z257" s="176"/>
      <c r="AA257" s="631"/>
      <c r="AB257" s="176"/>
      <c r="AC257" s="631"/>
      <c r="AD257" s="176"/>
      <c r="AE257" s="176"/>
      <c r="AF257" s="176"/>
      <c r="AG257" s="176"/>
      <c r="AH257" s="176"/>
      <c r="AI257" s="176"/>
      <c r="AJ257" s="176"/>
      <c r="AK257" s="176"/>
      <c r="AL257" s="577" t="e">
        <f t="shared" si="666"/>
        <v>#DIV/0!</v>
      </c>
      <c r="AM257" s="577" t="e">
        <f t="shared" si="657"/>
        <v>#DIV/0!</v>
      </c>
      <c r="AN257" s="176"/>
      <c r="AO257" s="848"/>
      <c r="AP257" s="848"/>
      <c r="AQ257" s="176"/>
      <c r="AR257" s="163" t="e">
        <f t="shared" si="665"/>
        <v>#DIV/0!</v>
      </c>
      <c r="AS257" s="163" t="e">
        <f t="shared" si="659"/>
        <v>#DIV/0!</v>
      </c>
      <c r="AT257" s="176"/>
      <c r="AU257" s="756" t="e">
        <f t="shared" si="668"/>
        <v>#DIV/0!</v>
      </c>
      <c r="AV257" s="176"/>
      <c r="AW257" s="822" t="e">
        <f t="shared" si="660"/>
        <v>#DIV/0!</v>
      </c>
      <c r="AX257" s="176"/>
      <c r="AY257" s="756" t="e">
        <f t="shared" si="661"/>
        <v>#DIV/0!</v>
      </c>
      <c r="AZ257" s="435"/>
      <c r="BA257" s="435"/>
      <c r="BB257" s="435"/>
      <c r="BC257" s="435"/>
      <c r="BD257" s="435"/>
      <c r="BE257" s="435"/>
      <c r="BF257" s="175"/>
      <c r="BG257" s="175"/>
      <c r="BH257" s="175"/>
      <c r="BI257" s="175"/>
      <c r="BJ257" s="175"/>
      <c r="BK257" s="175"/>
      <c r="BL257" s="175"/>
      <c r="BM257" s="175"/>
      <c r="BN257" s="175"/>
      <c r="BO257" s="175"/>
      <c r="BP257" s="176"/>
      <c r="BQ257" s="176"/>
      <c r="BR257" s="176"/>
      <c r="BS257" s="176"/>
      <c r="BT257" s="435">
        <f t="shared" si="667"/>
        <v>0</v>
      </c>
      <c r="BU257" s="435"/>
      <c r="BV257" s="436"/>
      <c r="BW257" s="436"/>
      <c r="BX257" s="175"/>
      <c r="BY257" s="631"/>
      <c r="BZ257" s="176"/>
      <c r="CA257" s="631"/>
      <c r="CB257" s="176"/>
      <c r="CC257" s="631"/>
      <c r="CD257" s="176"/>
      <c r="CE257" s="631"/>
      <c r="CF257" s="176"/>
      <c r="CG257" s="393"/>
      <c r="CH257" s="176"/>
      <c r="CI257" s="393"/>
      <c r="CJ257" s="176"/>
      <c r="CK257" s="394"/>
    </row>
    <row r="258" spans="2:89" s="825" customFormat="1" ht="46.5" customHeight="1" thickBot="1">
      <c r="B258" s="1170" t="s">
        <v>396</v>
      </c>
      <c r="C258" s="1171"/>
      <c r="D258" s="1171"/>
      <c r="E258" s="1171"/>
      <c r="F258" s="1171"/>
      <c r="G258" s="1171"/>
      <c r="H258" s="1171"/>
      <c r="I258" s="1171"/>
      <c r="J258" s="1171"/>
      <c r="K258" s="1171"/>
      <c r="L258" s="1171"/>
      <c r="M258" s="1171"/>
      <c r="N258" s="1171"/>
      <c r="O258" s="1171"/>
      <c r="P258" s="1171"/>
      <c r="Q258" s="1171"/>
      <c r="R258" s="1171"/>
      <c r="S258" s="1171"/>
      <c r="T258" s="1171"/>
      <c r="U258" s="1171"/>
      <c r="V258" s="1171"/>
      <c r="W258" s="1171"/>
      <c r="X258" s="1171"/>
      <c r="Y258" s="1171"/>
      <c r="Z258" s="1171"/>
      <c r="AA258" s="1171"/>
      <c r="AB258" s="1171"/>
      <c r="AC258" s="1171"/>
      <c r="AD258" s="1171"/>
      <c r="AE258" s="1171"/>
      <c r="AF258" s="1171"/>
      <c r="AG258" s="1171"/>
      <c r="AH258" s="1171"/>
      <c r="AI258" s="1171"/>
      <c r="AJ258" s="1171"/>
      <c r="AK258" s="1171"/>
      <c r="AL258" s="1171"/>
      <c r="AM258" s="1171"/>
      <c r="AN258" s="1171"/>
      <c r="AO258" s="1171"/>
      <c r="AP258" s="1171"/>
      <c r="AQ258" s="1171"/>
      <c r="AR258" s="1171"/>
      <c r="AS258" s="1171"/>
      <c r="AT258" s="1171"/>
      <c r="AU258" s="1171"/>
      <c r="AV258" s="1171"/>
      <c r="AW258" s="1171"/>
      <c r="AX258" s="1171"/>
      <c r="AY258" s="1171"/>
      <c r="AZ258" s="1171"/>
      <c r="BA258" s="1171"/>
      <c r="BB258" s="1171"/>
      <c r="BC258" s="1171"/>
      <c r="BD258" s="1171"/>
      <c r="BE258" s="1171"/>
      <c r="BF258" s="1171"/>
      <c r="BG258" s="1171"/>
      <c r="BH258" s="1171"/>
      <c r="BI258" s="1171"/>
      <c r="BJ258" s="1171"/>
      <c r="BK258" s="1171"/>
      <c r="BL258" s="1171"/>
      <c r="BM258" s="1171"/>
      <c r="BN258" s="1171"/>
      <c r="BO258" s="1171"/>
      <c r="BP258" s="1171"/>
      <c r="BQ258" s="1171"/>
      <c r="BR258" s="1171"/>
      <c r="BS258" s="1171"/>
      <c r="BT258" s="1171"/>
      <c r="BU258" s="1171"/>
      <c r="BV258" s="1171"/>
      <c r="BW258" s="1171"/>
      <c r="BX258" s="1171"/>
      <c r="BY258" s="1171"/>
      <c r="BZ258" s="1171"/>
      <c r="CA258" s="1171"/>
      <c r="CB258" s="1171"/>
      <c r="CC258" s="1171"/>
      <c r="CD258" s="1171"/>
      <c r="CE258" s="1171"/>
      <c r="CF258" s="1171"/>
      <c r="CG258" s="1171"/>
      <c r="CH258" s="1171"/>
      <c r="CI258" s="1171"/>
      <c r="CJ258" s="1171"/>
      <c r="CK258" s="1172"/>
    </row>
    <row r="259" spans="2:89" s="858" customFormat="1" ht="55.5" customHeight="1" thickBot="1">
      <c r="B259" s="689" t="s">
        <v>390</v>
      </c>
      <c r="C259" s="849" t="s">
        <v>450</v>
      </c>
      <c r="D259" s="850"/>
      <c r="E259" s="850"/>
      <c r="F259" s="850"/>
      <c r="G259" s="850"/>
      <c r="H259" s="850"/>
      <c r="I259" s="850"/>
      <c r="J259" s="850"/>
      <c r="K259" s="851">
        <f>L259+M259</f>
        <v>36993.415200000003</v>
      </c>
      <c r="L259" s="851">
        <f>L260+L261+L262+L263</f>
        <v>9522.1388100000004</v>
      </c>
      <c r="M259" s="851">
        <f>M260+M261+M262+M263+M264</f>
        <v>27471.276389999999</v>
      </c>
      <c r="N259" s="851">
        <f>O259+P259</f>
        <v>0</v>
      </c>
      <c r="O259" s="851">
        <f>R259-L259</f>
        <v>0</v>
      </c>
      <c r="P259" s="851">
        <f>S259-M259</f>
        <v>0</v>
      </c>
      <c r="Q259" s="758">
        <f>R259+S259</f>
        <v>36993.415200000003</v>
      </c>
      <c r="R259" s="758">
        <f>R260+R261+R262+R263</f>
        <v>9522.1388100000004</v>
      </c>
      <c r="S259" s="758">
        <f>S260+S261+S262+S263+S264</f>
        <v>27471.276389999999</v>
      </c>
      <c r="T259" s="851">
        <f>V259+X259</f>
        <v>44994.294049999997</v>
      </c>
      <c r="U259" s="565">
        <f t="shared" ref="U259:U276" si="669">T259/Q259</f>
        <v>1.216278459470268</v>
      </c>
      <c r="V259" s="851">
        <f>V260+V261+V262+V263</f>
        <v>28226.94166</v>
      </c>
      <c r="W259" s="692">
        <f t="shared" ref="W259:W276" si="670">V259/R259</f>
        <v>2.9643488950566979</v>
      </c>
      <c r="X259" s="851">
        <f>X260+X261+X262+X263+X264</f>
        <v>16767.35239</v>
      </c>
      <c r="Y259" s="565">
        <f t="shared" ref="Y259:Y276" si="671">X259/S259</f>
        <v>0.61035942240032193</v>
      </c>
      <c r="Z259" s="851">
        <f>AB259+AD259</f>
        <v>-8000.8788499999991</v>
      </c>
      <c r="AA259" s="565">
        <f t="shared" ref="AA259:AA276" si="672">Z259/Q259</f>
        <v>-0.21627845947026805</v>
      </c>
      <c r="AB259" s="851">
        <f>AB260+AB261+AB262+AB263</f>
        <v>-18704.80285</v>
      </c>
      <c r="AC259" s="565">
        <f t="shared" ref="AC259:AC276" si="673">AB259/R259</f>
        <v>-1.9643488950566979</v>
      </c>
      <c r="AD259" s="851">
        <f>AD260+AD261+AD262+AD263</f>
        <v>10703.924000000001</v>
      </c>
      <c r="AE259" s="851"/>
      <c r="AF259" s="851"/>
      <c r="AG259" s="851"/>
      <c r="AH259" s="851"/>
      <c r="AI259" s="851"/>
      <c r="AJ259" s="851"/>
      <c r="AK259" s="851">
        <f>AN259+AQ259</f>
        <v>16767.35239</v>
      </c>
      <c r="AL259" s="851"/>
      <c r="AM259" s="852">
        <f>AK259/Q259</f>
        <v>0.45325235043451728</v>
      </c>
      <c r="AN259" s="758">
        <f>AN260+AN261+AN262+AN263+AN264</f>
        <v>0</v>
      </c>
      <c r="AO259" s="851"/>
      <c r="AP259" s="852">
        <v>0</v>
      </c>
      <c r="AQ259" s="851">
        <f>AQ260+AQ261+AQ262+AQ263</f>
        <v>16767.35239</v>
      </c>
      <c r="AR259" s="851"/>
      <c r="AS259" s="852">
        <f>AQ259/S259</f>
        <v>0.61035942240032193</v>
      </c>
      <c r="AT259" s="851">
        <f>AV259+AX259</f>
        <v>36405.587390000001</v>
      </c>
      <c r="AU259" s="566">
        <f>AT259/K259</f>
        <v>0.98410993397549296</v>
      </c>
      <c r="AV259" s="851">
        <f>AV260+AV261+AV262+AV263</f>
        <v>8934.3109999999997</v>
      </c>
      <c r="AW259" s="694">
        <f>AV259/L259</f>
        <v>0.93826725048550297</v>
      </c>
      <c r="AX259" s="851">
        <f>AX260+AX261+AX262+AX263+AX264</f>
        <v>27471.276389999999</v>
      </c>
      <c r="AY259" s="694">
        <f>AX259/M259</f>
        <v>1</v>
      </c>
      <c r="AZ259" s="851">
        <f>BB259+BD259</f>
        <v>587.82781000000068</v>
      </c>
      <c r="BA259" s="151">
        <f>AZ259/K259</f>
        <v>1.5890066024506995E-2</v>
      </c>
      <c r="BB259" s="851">
        <f>BB260+BB261+BB262+BB263</f>
        <v>587.82781000000068</v>
      </c>
      <c r="BC259" s="151">
        <f>BB259/R259</f>
        <v>6.1732749514497011E-2</v>
      </c>
      <c r="BD259" s="851">
        <f>BD260+BD261+BD262+BD263</f>
        <v>0</v>
      </c>
      <c r="BE259" s="151">
        <f>BD259/S259</f>
        <v>0</v>
      </c>
      <c r="BF259" s="853">
        <f t="shared" ref="BF259:BF264" si="674">BH259+BJ259</f>
        <v>36405.587390000001</v>
      </c>
      <c r="BG259" s="694">
        <f>BF259/AT259</f>
        <v>1</v>
      </c>
      <c r="BH259" s="851">
        <f>BH260+BH261+BH262+BH263+BH264</f>
        <v>8934.3109999999997</v>
      </c>
      <c r="BI259" s="694">
        <v>0</v>
      </c>
      <c r="BJ259" s="851">
        <f>BJ260+BJ261+BJ262+BJ264</f>
        <v>27471.276389999999</v>
      </c>
      <c r="BK259" s="694">
        <f>BJ259/AX259</f>
        <v>1</v>
      </c>
      <c r="BL259" s="851">
        <f>BN259+BP259</f>
        <v>0</v>
      </c>
      <c r="BM259" s="694">
        <f>BL259/AT259</f>
        <v>0</v>
      </c>
      <c r="BN259" s="851">
        <f>BN260+BN261+BN262+BN263</f>
        <v>0</v>
      </c>
      <c r="BO259" s="694">
        <f>BN259/AV259</f>
        <v>0</v>
      </c>
      <c r="BP259" s="851">
        <f t="shared" ref="BP259:BV259" si="675">BP260+BP261+BP262</f>
        <v>0</v>
      </c>
      <c r="BQ259" s="694">
        <v>0</v>
      </c>
      <c r="BR259" s="851">
        <f>SUM(BR260,BR261,BR262,BR263)</f>
        <v>587.82781000000068</v>
      </c>
      <c r="BS259" s="693">
        <v>0</v>
      </c>
      <c r="BT259" s="851">
        <f>BT260+BT261+BT262+BT263</f>
        <v>587.82781000000068</v>
      </c>
      <c r="BU259" s="693">
        <v>0</v>
      </c>
      <c r="BV259" s="851">
        <f t="shared" si="675"/>
        <v>0</v>
      </c>
      <c r="BW259" s="693">
        <v>0</v>
      </c>
      <c r="BX259" s="854" t="s">
        <v>81</v>
      </c>
      <c r="BY259" s="82">
        <f>AD259/S259</f>
        <v>0.38964057759967813</v>
      </c>
      <c r="BZ259" s="855"/>
      <c r="CA259" s="855"/>
      <c r="CB259" s="855"/>
      <c r="CC259" s="855"/>
      <c r="CD259" s="855"/>
      <c r="CE259" s="855"/>
      <c r="CF259" s="855"/>
      <c r="CG259" s="856"/>
      <c r="CH259" s="855"/>
      <c r="CI259" s="856"/>
      <c r="CJ259" s="855"/>
      <c r="CK259" s="857"/>
    </row>
    <row r="260" spans="2:89" s="424" customFormat="1" ht="61.5" hidden="1" customHeight="1">
      <c r="B260" s="859" t="s">
        <v>49</v>
      </c>
      <c r="C260" s="860" t="s">
        <v>397</v>
      </c>
      <c r="D260" s="861"/>
      <c r="E260" s="862"/>
      <c r="F260" s="862"/>
      <c r="G260" s="862"/>
      <c r="H260" s="862"/>
      <c r="I260" s="862"/>
      <c r="J260" s="862"/>
      <c r="K260" s="863">
        <f>L260+M260</f>
        <v>7470</v>
      </c>
      <c r="L260" s="863">
        <v>0</v>
      </c>
      <c r="M260" s="863">
        <v>7470</v>
      </c>
      <c r="N260" s="864">
        <f t="shared" ref="N260:N263" si="676">O260+P260</f>
        <v>0</v>
      </c>
      <c r="O260" s="863">
        <v>0</v>
      </c>
      <c r="P260" s="864">
        <f t="shared" ref="P260:P263" si="677">S260-M260</f>
        <v>0</v>
      </c>
      <c r="Q260" s="865">
        <f>R260+S260</f>
        <v>7470</v>
      </c>
      <c r="R260" s="865">
        <v>0</v>
      </c>
      <c r="S260" s="865">
        <f>M260</f>
        <v>7470</v>
      </c>
      <c r="T260" s="864">
        <f>V260+X260</f>
        <v>7470</v>
      </c>
      <c r="U260" s="866">
        <f t="shared" si="669"/>
        <v>1</v>
      </c>
      <c r="V260" s="863">
        <v>0</v>
      </c>
      <c r="W260" s="867">
        <v>0</v>
      </c>
      <c r="X260" s="863">
        <f>S260</f>
        <v>7470</v>
      </c>
      <c r="Y260" s="866">
        <f t="shared" si="671"/>
        <v>1</v>
      </c>
      <c r="Z260" s="864">
        <f t="shared" ref="Z260:Z264" si="678">AB260+AD260</f>
        <v>0</v>
      </c>
      <c r="AA260" s="866">
        <f t="shared" si="672"/>
        <v>0</v>
      </c>
      <c r="AB260" s="863">
        <f>R260-V260</f>
        <v>0</v>
      </c>
      <c r="AC260" s="866">
        <v>0</v>
      </c>
      <c r="AD260" s="863">
        <f>S260-X260</f>
        <v>0</v>
      </c>
      <c r="AE260" s="863"/>
      <c r="AF260" s="863"/>
      <c r="AG260" s="863"/>
      <c r="AH260" s="863">
        <f>AI260+AJ260</f>
        <v>7470</v>
      </c>
      <c r="AI260" s="863">
        <v>0</v>
      </c>
      <c r="AJ260" s="863">
        <f>M260</f>
        <v>7470</v>
      </c>
      <c r="AK260" s="863">
        <f>AN260+AQ260</f>
        <v>7470</v>
      </c>
      <c r="AL260" s="867">
        <f t="shared" si="666"/>
        <v>1</v>
      </c>
      <c r="AM260" s="868">
        <f t="shared" si="657"/>
        <v>1</v>
      </c>
      <c r="AN260" s="865">
        <v>0</v>
      </c>
      <c r="AO260" s="867">
        <v>0</v>
      </c>
      <c r="AP260" s="868">
        <v>0</v>
      </c>
      <c r="AQ260" s="863">
        <v>7470</v>
      </c>
      <c r="AR260" s="867">
        <f t="shared" ref="AR260:AR276" si="679">AQ260/AJ260</f>
        <v>1</v>
      </c>
      <c r="AS260" s="868">
        <f>AQ260/S260</f>
        <v>1</v>
      </c>
      <c r="AT260" s="863">
        <f>AV260+AX260</f>
        <v>7470</v>
      </c>
      <c r="AU260" s="869">
        <f>AT260/K260</f>
        <v>1</v>
      </c>
      <c r="AV260" s="486">
        <v>0</v>
      </c>
      <c r="AW260" s="373">
        <v>0</v>
      </c>
      <c r="AX260" s="486">
        <f>M260</f>
        <v>7470</v>
      </c>
      <c r="AY260" s="373">
        <f>AX260/M260</f>
        <v>1</v>
      </c>
      <c r="AZ260" s="378">
        <f t="shared" ref="AZ260:AZ264" si="680">BB260+BD260</f>
        <v>0</v>
      </c>
      <c r="BA260" s="375">
        <f>AZ260/K260</f>
        <v>0</v>
      </c>
      <c r="BB260" s="378">
        <f>R260-AV260</f>
        <v>0</v>
      </c>
      <c r="BC260" s="375">
        <v>0</v>
      </c>
      <c r="BD260" s="378">
        <f>S260-AX260</f>
        <v>0</v>
      </c>
      <c r="BE260" s="375">
        <f>BD260/S260</f>
        <v>0</v>
      </c>
      <c r="BF260" s="486">
        <f t="shared" si="674"/>
        <v>7470</v>
      </c>
      <c r="BG260" s="373">
        <f>BF260/AT260</f>
        <v>1</v>
      </c>
      <c r="BH260" s="486">
        <v>0</v>
      </c>
      <c r="BI260" s="870">
        <v>0</v>
      </c>
      <c r="BJ260" s="176">
        <f>'[1]тыс. руб 1 знак'!$AX$254</f>
        <v>7470</v>
      </c>
      <c r="BK260" s="373">
        <f>BJ260/AX260</f>
        <v>1</v>
      </c>
      <c r="BL260" s="486">
        <f>BN260+BP260</f>
        <v>0</v>
      </c>
      <c r="BM260" s="373">
        <f t="shared" ref="BM260:BM263" si="681">BL260/AT260</f>
        <v>0</v>
      </c>
      <c r="BN260" s="486">
        <v>0</v>
      </c>
      <c r="BO260" s="870">
        <v>0</v>
      </c>
      <c r="BP260" s="486">
        <v>0</v>
      </c>
      <c r="BQ260" s="373">
        <v>0</v>
      </c>
      <c r="BR260" s="486">
        <f>BT260+BV260</f>
        <v>0</v>
      </c>
      <c r="BS260" s="533">
        <v>0</v>
      </c>
      <c r="BT260" s="486">
        <f>R260-BH260-BN260</f>
        <v>0</v>
      </c>
      <c r="BU260" s="533">
        <v>0</v>
      </c>
      <c r="BV260" s="486">
        <f>S260-BJ260-BP260</f>
        <v>0</v>
      </c>
      <c r="BW260" s="533">
        <v>0</v>
      </c>
      <c r="BX260" s="665"/>
      <c r="BY260" s="271">
        <f>AD260/S260</f>
        <v>0</v>
      </c>
      <c r="BZ260" s="176"/>
      <c r="CA260" s="631"/>
      <c r="CB260" s="176"/>
      <c r="CC260" s="631"/>
      <c r="CD260" s="176"/>
      <c r="CE260" s="631"/>
      <c r="CF260" s="176"/>
      <c r="CG260" s="393"/>
      <c r="CH260" s="176"/>
      <c r="CI260" s="393"/>
      <c r="CJ260" s="176"/>
      <c r="CK260" s="394"/>
    </row>
    <row r="261" spans="2:89" s="424" customFormat="1" ht="56.25" hidden="1" customHeight="1">
      <c r="B261" s="705" t="s">
        <v>50</v>
      </c>
      <c r="C261" s="715" t="s">
        <v>398</v>
      </c>
      <c r="D261" s="871"/>
      <c r="E261" s="175"/>
      <c r="F261" s="175"/>
      <c r="G261" s="175"/>
      <c r="H261" s="175"/>
      <c r="I261" s="175"/>
      <c r="J261" s="175"/>
      <c r="K261" s="251">
        <f t="shared" ref="K261:K264" si="682">L261+M261</f>
        <v>10703.924000000001</v>
      </c>
      <c r="L261" s="251">
        <v>0</v>
      </c>
      <c r="M261" s="251">
        <f>10703.924</f>
        <v>10703.924000000001</v>
      </c>
      <c r="N261" s="872">
        <f t="shared" si="676"/>
        <v>0</v>
      </c>
      <c r="O261" s="251">
        <v>0</v>
      </c>
      <c r="P261" s="872">
        <f t="shared" si="677"/>
        <v>0</v>
      </c>
      <c r="Q261" s="249">
        <f t="shared" ref="Q261:Q264" si="683">R261+S261</f>
        <v>10703.924000000001</v>
      </c>
      <c r="R261" s="249">
        <v>0</v>
      </c>
      <c r="S261" s="249">
        <f t="shared" ref="S261:S264" si="684">M261</f>
        <v>10703.924000000001</v>
      </c>
      <c r="T261" s="251">
        <f>V261+X261</f>
        <v>28226.94166</v>
      </c>
      <c r="U261" s="253">
        <f t="shared" si="669"/>
        <v>2.6370648427623364</v>
      </c>
      <c r="V261" s="251">
        <v>28226.94166</v>
      </c>
      <c r="W261" s="257" t="e">
        <f t="shared" si="670"/>
        <v>#DIV/0!</v>
      </c>
      <c r="X261" s="251">
        <v>0</v>
      </c>
      <c r="Y261" s="253">
        <v>0</v>
      </c>
      <c r="Z261" s="872">
        <f t="shared" si="678"/>
        <v>-17523.017659999998</v>
      </c>
      <c r="AA261" s="253">
        <f t="shared" si="672"/>
        <v>-1.6370648427623362</v>
      </c>
      <c r="AB261" s="251">
        <f t="shared" ref="AB261:AB262" si="685">R261-V261</f>
        <v>-28226.94166</v>
      </c>
      <c r="AC261" s="253" t="e">
        <f t="shared" si="673"/>
        <v>#DIV/0!</v>
      </c>
      <c r="AD261" s="251">
        <f t="shared" ref="AD261:AD263" si="686">S261-X261</f>
        <v>10703.924000000001</v>
      </c>
      <c r="AE261" s="251"/>
      <c r="AF261" s="251"/>
      <c r="AG261" s="251"/>
      <c r="AH261" s="251"/>
      <c r="AI261" s="251"/>
      <c r="AJ261" s="251"/>
      <c r="AK261" s="496">
        <f t="shared" ref="AK261:AK264" si="687">AN261+AQ261</f>
        <v>0</v>
      </c>
      <c r="AL261" s="257"/>
      <c r="AM261" s="368">
        <f t="shared" si="657"/>
        <v>0</v>
      </c>
      <c r="AN261" s="249">
        <f>R261</f>
        <v>0</v>
      </c>
      <c r="AO261" s="257"/>
      <c r="AP261" s="368">
        <v>0</v>
      </c>
      <c r="AQ261" s="251">
        <v>0</v>
      </c>
      <c r="AR261" s="257"/>
      <c r="AS261" s="368">
        <v>0</v>
      </c>
      <c r="AT261" s="496">
        <f t="shared" ref="AT261:AT264" si="688">AV261+AX261</f>
        <v>10703.924000000001</v>
      </c>
      <c r="AU261" s="485">
        <f>AT261/K261</f>
        <v>1</v>
      </c>
      <c r="AV261" s="176">
        <v>0</v>
      </c>
      <c r="AW261" s="373">
        <v>0</v>
      </c>
      <c r="AX261" s="486">
        <f>M261</f>
        <v>10703.924000000001</v>
      </c>
      <c r="AY261" s="373">
        <f>AX261/M261</f>
        <v>1</v>
      </c>
      <c r="AZ261" s="382">
        <f t="shared" si="680"/>
        <v>0</v>
      </c>
      <c r="BA261" s="375">
        <f>AZ261/K261</f>
        <v>0</v>
      </c>
      <c r="BB261" s="382">
        <f>R261-AV261</f>
        <v>0</v>
      </c>
      <c r="BC261" s="375">
        <v>0</v>
      </c>
      <c r="BD261" s="382">
        <f>S261-AX261</f>
        <v>0</v>
      </c>
      <c r="BE261" s="262">
        <v>0</v>
      </c>
      <c r="BF261" s="176">
        <f t="shared" si="674"/>
        <v>10703.924000000001</v>
      </c>
      <c r="BG261" s="373">
        <f t="shared" ref="BG261:BG264" si="689">BF261/AT261</f>
        <v>1</v>
      </c>
      <c r="BH261" s="176">
        <v>0</v>
      </c>
      <c r="BI261" s="500">
        <v>0</v>
      </c>
      <c r="BJ261" s="176">
        <f>10703.924</f>
        <v>10703.924000000001</v>
      </c>
      <c r="BK261" s="373">
        <f t="shared" ref="BK261:BK262" si="690">BJ261/AX261</f>
        <v>1</v>
      </c>
      <c r="BL261" s="486">
        <f t="shared" ref="BL261:BL264" si="691">BN261+BP261</f>
        <v>0</v>
      </c>
      <c r="BM261" s="373">
        <f t="shared" si="681"/>
        <v>0</v>
      </c>
      <c r="BN261" s="486">
        <v>0</v>
      </c>
      <c r="BO261" s="870">
        <v>0</v>
      </c>
      <c r="BP261" s="486">
        <v>0</v>
      </c>
      <c r="BQ261" s="373">
        <v>0</v>
      </c>
      <c r="BR261" s="176">
        <f t="shared" ref="BR261:BR263" si="692">BT261+BV261</f>
        <v>0</v>
      </c>
      <c r="BS261" s="533">
        <v>0</v>
      </c>
      <c r="BT261" s="176">
        <v>0</v>
      </c>
      <c r="BU261" s="533">
        <v>0</v>
      </c>
      <c r="BV261" s="176">
        <f>S261-BJ261-BP261</f>
        <v>0</v>
      </c>
      <c r="BW261" s="533">
        <v>0</v>
      </c>
      <c r="BX261" s="175"/>
      <c r="BY261" s="271">
        <f>AD261/S261</f>
        <v>1</v>
      </c>
      <c r="BZ261" s="176"/>
      <c r="CA261" s="631"/>
      <c r="CB261" s="176"/>
      <c r="CC261" s="631"/>
      <c r="CD261" s="176"/>
      <c r="CE261" s="631"/>
      <c r="CF261" s="176"/>
      <c r="CG261" s="393"/>
      <c r="CH261" s="176"/>
      <c r="CI261" s="393"/>
      <c r="CJ261" s="176"/>
      <c r="CK261" s="394"/>
    </row>
    <row r="262" spans="2:89" s="424" customFormat="1" ht="45" hidden="1" customHeight="1">
      <c r="B262" s="705" t="s">
        <v>399</v>
      </c>
      <c r="C262" s="715" t="s">
        <v>400</v>
      </c>
      <c r="D262" s="871"/>
      <c r="E262" s="175"/>
      <c r="F262" s="175"/>
      <c r="G262" s="175"/>
      <c r="H262" s="175"/>
      <c r="I262" s="175"/>
      <c r="J262" s="175"/>
      <c r="K262" s="251">
        <f t="shared" si="682"/>
        <v>9297.35239</v>
      </c>
      <c r="L262" s="251">
        <v>0</v>
      </c>
      <c r="M262" s="251">
        <v>9297.35239</v>
      </c>
      <c r="N262" s="872">
        <f t="shared" si="676"/>
        <v>0</v>
      </c>
      <c r="O262" s="251">
        <v>0</v>
      </c>
      <c r="P262" s="872">
        <f t="shared" si="677"/>
        <v>0</v>
      </c>
      <c r="Q262" s="249">
        <f t="shared" si="683"/>
        <v>9297.35239</v>
      </c>
      <c r="R262" s="249">
        <v>0</v>
      </c>
      <c r="S262" s="249">
        <f t="shared" si="684"/>
        <v>9297.35239</v>
      </c>
      <c r="T262" s="251">
        <f t="shared" ref="T262:T264" si="693">V262+X262</f>
        <v>9297.35239</v>
      </c>
      <c r="U262" s="253">
        <f t="shared" si="669"/>
        <v>1</v>
      </c>
      <c r="V262" s="251">
        <v>0</v>
      </c>
      <c r="W262" s="257">
        <v>0</v>
      </c>
      <c r="X262" s="251">
        <f>S262</f>
        <v>9297.35239</v>
      </c>
      <c r="Y262" s="253">
        <f t="shared" si="671"/>
        <v>1</v>
      </c>
      <c r="Z262" s="872">
        <f t="shared" si="678"/>
        <v>0</v>
      </c>
      <c r="AA262" s="253">
        <f t="shared" si="672"/>
        <v>0</v>
      </c>
      <c r="AB262" s="251">
        <f t="shared" si="685"/>
        <v>0</v>
      </c>
      <c r="AC262" s="253">
        <v>0</v>
      </c>
      <c r="AD262" s="251">
        <f t="shared" si="686"/>
        <v>0</v>
      </c>
      <c r="AE262" s="251"/>
      <c r="AF262" s="251"/>
      <c r="AG262" s="251"/>
      <c r="AH262" s="251"/>
      <c r="AI262" s="251"/>
      <c r="AJ262" s="251"/>
      <c r="AK262" s="496">
        <f t="shared" si="687"/>
        <v>9297.35239</v>
      </c>
      <c r="AL262" s="257"/>
      <c r="AM262" s="368">
        <f t="shared" si="657"/>
        <v>1</v>
      </c>
      <c r="AN262" s="249">
        <v>0</v>
      </c>
      <c r="AO262" s="257"/>
      <c r="AP262" s="368">
        <v>0</v>
      </c>
      <c r="AQ262" s="251">
        <f>AX262</f>
        <v>9297.35239</v>
      </c>
      <c r="AR262" s="257"/>
      <c r="AS262" s="368">
        <f t="shared" ref="AS262:AS264" si="694">AQ262/S262</f>
        <v>1</v>
      </c>
      <c r="AT262" s="496">
        <f t="shared" si="688"/>
        <v>9297.35239</v>
      </c>
      <c r="AU262" s="485">
        <f>AT262/K262</f>
        <v>1</v>
      </c>
      <c r="AV262" s="176">
        <v>0</v>
      </c>
      <c r="AW262" s="373">
        <v>0</v>
      </c>
      <c r="AX262" s="176">
        <f>M262</f>
        <v>9297.35239</v>
      </c>
      <c r="AY262" s="373">
        <f>AX262/M262</f>
        <v>1</v>
      </c>
      <c r="AZ262" s="382">
        <f t="shared" si="680"/>
        <v>0</v>
      </c>
      <c r="BA262" s="375">
        <f>AZ262/K262</f>
        <v>0</v>
      </c>
      <c r="BB262" s="382">
        <f>R262-AV262</f>
        <v>0</v>
      </c>
      <c r="BC262" s="262">
        <v>0</v>
      </c>
      <c r="BD262" s="382">
        <f>S262-AX262</f>
        <v>0</v>
      </c>
      <c r="BE262" s="262">
        <f>BD262/S262</f>
        <v>0</v>
      </c>
      <c r="BF262" s="176">
        <f t="shared" si="674"/>
        <v>9297.35239</v>
      </c>
      <c r="BG262" s="373">
        <f t="shared" si="689"/>
        <v>1</v>
      </c>
      <c r="BH262" s="176">
        <v>0</v>
      </c>
      <c r="BI262" s="500">
        <v>0</v>
      </c>
      <c r="BJ262" s="176">
        <f>AX262</f>
        <v>9297.35239</v>
      </c>
      <c r="BK262" s="373">
        <f t="shared" si="690"/>
        <v>1</v>
      </c>
      <c r="BL262" s="486">
        <f t="shared" si="691"/>
        <v>0</v>
      </c>
      <c r="BM262" s="373">
        <f t="shared" si="681"/>
        <v>0</v>
      </c>
      <c r="BN262" s="486">
        <v>0</v>
      </c>
      <c r="BO262" s="870">
        <v>0</v>
      </c>
      <c r="BP262" s="486">
        <v>0</v>
      </c>
      <c r="BQ262" s="373">
        <v>0</v>
      </c>
      <c r="BR262" s="176">
        <f t="shared" si="692"/>
        <v>0</v>
      </c>
      <c r="BS262" s="533">
        <v>0</v>
      </c>
      <c r="BT262" s="176">
        <f>R262-BH262-BN262</f>
        <v>0</v>
      </c>
      <c r="BU262" s="533">
        <v>0</v>
      </c>
      <c r="BV262" s="176">
        <f>S262-BJ262-BP262</f>
        <v>0</v>
      </c>
      <c r="BW262" s="533">
        <v>0</v>
      </c>
      <c r="BX262" s="175"/>
      <c r="BY262" s="271">
        <f>AD262/S262</f>
        <v>0</v>
      </c>
      <c r="BZ262" s="176"/>
      <c r="CA262" s="631"/>
      <c r="CB262" s="176"/>
      <c r="CC262" s="631"/>
      <c r="CD262" s="176"/>
      <c r="CE262" s="631"/>
      <c r="CF262" s="176"/>
      <c r="CG262" s="393"/>
      <c r="CH262" s="176"/>
      <c r="CI262" s="393"/>
      <c r="CJ262" s="176"/>
      <c r="CK262" s="394"/>
    </row>
    <row r="263" spans="2:89" s="424" customFormat="1" ht="62.25" hidden="1" customHeight="1">
      <c r="B263" s="873" t="s">
        <v>401</v>
      </c>
      <c r="C263" s="766" t="s">
        <v>402</v>
      </c>
      <c r="D263" s="874"/>
      <c r="E263" s="665"/>
      <c r="F263" s="665"/>
      <c r="G263" s="665"/>
      <c r="H263" s="665"/>
      <c r="I263" s="665"/>
      <c r="J263" s="665"/>
      <c r="K263" s="251">
        <f t="shared" si="682"/>
        <v>9522.1388100000004</v>
      </c>
      <c r="L263" s="251">
        <v>9522.1388100000004</v>
      </c>
      <c r="M263" s="251">
        <v>0</v>
      </c>
      <c r="N263" s="872">
        <f t="shared" si="676"/>
        <v>0</v>
      </c>
      <c r="O263" s="251">
        <v>0</v>
      </c>
      <c r="P263" s="872">
        <f t="shared" si="677"/>
        <v>0</v>
      </c>
      <c r="Q263" s="249">
        <f t="shared" si="683"/>
        <v>9522.1388100000004</v>
      </c>
      <c r="R263" s="249">
        <f>L263</f>
        <v>9522.1388100000004</v>
      </c>
      <c r="S263" s="249">
        <v>0</v>
      </c>
      <c r="T263" s="251">
        <f t="shared" si="693"/>
        <v>0</v>
      </c>
      <c r="U263" s="253">
        <v>0</v>
      </c>
      <c r="V263" s="251">
        <v>0</v>
      </c>
      <c r="W263" s="257">
        <v>0</v>
      </c>
      <c r="X263" s="251">
        <v>0</v>
      </c>
      <c r="Y263" s="253">
        <v>0</v>
      </c>
      <c r="Z263" s="872">
        <f t="shared" si="678"/>
        <v>9522.1388100000004</v>
      </c>
      <c r="AA263" s="253">
        <v>0</v>
      </c>
      <c r="AB263" s="251">
        <f>R263-V263</f>
        <v>9522.1388100000004</v>
      </c>
      <c r="AC263" s="253">
        <v>0</v>
      </c>
      <c r="AD263" s="251">
        <f t="shared" si="686"/>
        <v>0</v>
      </c>
      <c r="AE263" s="251"/>
      <c r="AF263" s="251"/>
      <c r="AG263" s="251"/>
      <c r="AH263" s="251"/>
      <c r="AI263" s="251"/>
      <c r="AJ263" s="251"/>
      <c r="AK263" s="496">
        <f t="shared" si="687"/>
        <v>0</v>
      </c>
      <c r="AL263" s="257"/>
      <c r="AM263" s="368">
        <f t="shared" si="657"/>
        <v>0</v>
      </c>
      <c r="AN263" s="249">
        <v>0</v>
      </c>
      <c r="AO263" s="257"/>
      <c r="AP263" s="368">
        <v>0</v>
      </c>
      <c r="AQ263" s="251">
        <f t="shared" ref="AQ263:AQ264" si="695">S263</f>
        <v>0</v>
      </c>
      <c r="AR263" s="257"/>
      <c r="AS263" s="368">
        <v>0</v>
      </c>
      <c r="AT263" s="496">
        <f t="shared" si="688"/>
        <v>8934.3109999999997</v>
      </c>
      <c r="AU263" s="485">
        <f>AT263/K263</f>
        <v>0.93826725048550297</v>
      </c>
      <c r="AV263" s="176">
        <v>8934.3109999999997</v>
      </c>
      <c r="AW263" s="373">
        <f>AV263/L263</f>
        <v>0.93826725048550297</v>
      </c>
      <c r="AX263" s="176">
        <v>0</v>
      </c>
      <c r="AY263" s="373">
        <v>0</v>
      </c>
      <c r="AZ263" s="382">
        <f t="shared" si="680"/>
        <v>587.82781000000068</v>
      </c>
      <c r="BA263" s="375">
        <f>AZ263/K263</f>
        <v>6.1732749514497011E-2</v>
      </c>
      <c r="BB263" s="382">
        <f>R263-AV263</f>
        <v>587.82781000000068</v>
      </c>
      <c r="BC263" s="262">
        <v>0</v>
      </c>
      <c r="BD263" s="382">
        <f>S263-AX263</f>
        <v>0</v>
      </c>
      <c r="BE263" s="262">
        <v>0</v>
      </c>
      <c r="BF263" s="176">
        <f t="shared" si="674"/>
        <v>8934.3109999999997</v>
      </c>
      <c r="BG263" s="373">
        <f t="shared" si="689"/>
        <v>1</v>
      </c>
      <c r="BH263" s="176">
        <v>8934.3109999999997</v>
      </c>
      <c r="BI263" s="500">
        <v>0</v>
      </c>
      <c r="BJ263" s="176">
        <f>AX263</f>
        <v>0</v>
      </c>
      <c r="BK263" s="373">
        <v>0</v>
      </c>
      <c r="BL263" s="486">
        <f t="shared" si="691"/>
        <v>0</v>
      </c>
      <c r="BM263" s="373">
        <f t="shared" si="681"/>
        <v>0</v>
      </c>
      <c r="BN263" s="486">
        <f>AV263-BH263</f>
        <v>0</v>
      </c>
      <c r="BO263" s="373">
        <f>BN263/AV263</f>
        <v>0</v>
      </c>
      <c r="BP263" s="486">
        <v>0</v>
      </c>
      <c r="BQ263" s="373">
        <v>0</v>
      </c>
      <c r="BR263" s="176">
        <f t="shared" si="692"/>
        <v>587.82781000000068</v>
      </c>
      <c r="BS263" s="533">
        <v>0</v>
      </c>
      <c r="BT263" s="176">
        <f>L263-BH263</f>
        <v>587.82781000000068</v>
      </c>
      <c r="BU263" s="533">
        <v>0</v>
      </c>
      <c r="BV263" s="176">
        <f>S263-BJ263-BP263</f>
        <v>0</v>
      </c>
      <c r="BW263" s="533">
        <v>0</v>
      </c>
      <c r="BX263" s="175"/>
      <c r="BY263" s="271" t="e">
        <f>AD263/S263</f>
        <v>#DIV/0!</v>
      </c>
      <c r="BZ263" s="176"/>
      <c r="CA263" s="631"/>
      <c r="CB263" s="176"/>
      <c r="CC263" s="631"/>
      <c r="CD263" s="176"/>
      <c r="CE263" s="631"/>
      <c r="CF263" s="176"/>
      <c r="CG263" s="393"/>
      <c r="CH263" s="176"/>
      <c r="CI263" s="393"/>
      <c r="CJ263" s="176"/>
      <c r="CK263" s="394"/>
    </row>
    <row r="264" spans="2:89" s="424" customFormat="1" ht="47.25" hidden="1" customHeight="1">
      <c r="B264" s="705" t="s">
        <v>401</v>
      </c>
      <c r="C264" s="708" t="s">
        <v>403</v>
      </c>
      <c r="D264" s="875"/>
      <c r="E264" s="264"/>
      <c r="F264" s="264"/>
      <c r="G264" s="264"/>
      <c r="H264" s="264"/>
      <c r="I264" s="264"/>
      <c r="J264" s="264"/>
      <c r="K264" s="176">
        <f t="shared" si="682"/>
        <v>0</v>
      </c>
      <c r="L264" s="175">
        <v>0</v>
      </c>
      <c r="M264" s="264">
        <v>0</v>
      </c>
      <c r="N264" s="876"/>
      <c r="O264" s="191"/>
      <c r="P264" s="876"/>
      <c r="Q264" s="175">
        <f t="shared" si="683"/>
        <v>0</v>
      </c>
      <c r="R264" s="264">
        <v>0</v>
      </c>
      <c r="S264" s="175">
        <f t="shared" si="684"/>
        <v>0</v>
      </c>
      <c r="T264" s="176">
        <f t="shared" si="693"/>
        <v>0</v>
      </c>
      <c r="U264" s="271" t="e">
        <f t="shared" si="669"/>
        <v>#DIV/0!</v>
      </c>
      <c r="V264" s="175">
        <v>0</v>
      </c>
      <c r="W264" s="848">
        <v>0</v>
      </c>
      <c r="X264" s="176">
        <f t="shared" ref="X264" si="696">S264</f>
        <v>0</v>
      </c>
      <c r="Y264" s="271" t="e">
        <f t="shared" si="671"/>
        <v>#DIV/0!</v>
      </c>
      <c r="Z264" s="877">
        <f t="shared" si="678"/>
        <v>0</v>
      </c>
      <c r="AA264" s="271" t="e">
        <f t="shared" si="672"/>
        <v>#DIV/0!</v>
      </c>
      <c r="AB264" s="191"/>
      <c r="AC264" s="878"/>
      <c r="AD264" s="191"/>
      <c r="AE264" s="191"/>
      <c r="AF264" s="191"/>
      <c r="AG264" s="191"/>
      <c r="AH264" s="191"/>
      <c r="AI264" s="191"/>
      <c r="AJ264" s="191"/>
      <c r="AK264" s="665">
        <f t="shared" si="687"/>
        <v>0</v>
      </c>
      <c r="AL264" s="637"/>
      <c r="AM264" s="879" t="e">
        <f t="shared" si="657"/>
        <v>#DIV/0!</v>
      </c>
      <c r="AN264" s="264">
        <v>0</v>
      </c>
      <c r="AO264" s="637"/>
      <c r="AP264" s="533">
        <v>0</v>
      </c>
      <c r="AQ264" s="175">
        <f t="shared" si="695"/>
        <v>0</v>
      </c>
      <c r="AR264" s="637"/>
      <c r="AS264" s="533" t="e">
        <f t="shared" si="694"/>
        <v>#DIV/0!</v>
      </c>
      <c r="AT264" s="175">
        <f t="shared" si="688"/>
        <v>0</v>
      </c>
      <c r="AU264" s="371">
        <v>0</v>
      </c>
      <c r="AV264" s="175">
        <v>0</v>
      </c>
      <c r="AW264" s="533">
        <v>0</v>
      </c>
      <c r="AX264" s="175">
        <f>X264</f>
        <v>0</v>
      </c>
      <c r="AY264" s="533">
        <v>0</v>
      </c>
      <c r="AZ264" s="382">
        <f t="shared" si="680"/>
        <v>0</v>
      </c>
      <c r="BA264" s="263" t="e">
        <f>AZ264/Q264</f>
        <v>#DIV/0!</v>
      </c>
      <c r="BB264" s="242">
        <v>0</v>
      </c>
      <c r="BC264" s="271">
        <v>0</v>
      </c>
      <c r="BD264" s="382">
        <f>S264-AX264</f>
        <v>0</v>
      </c>
      <c r="BE264" s="271" t="e">
        <f>BD264/S264</f>
        <v>#DIV/0!</v>
      </c>
      <c r="BF264" s="175">
        <f t="shared" si="674"/>
        <v>0</v>
      </c>
      <c r="BG264" s="533" t="e">
        <f t="shared" si="689"/>
        <v>#DIV/0!</v>
      </c>
      <c r="BH264" s="176">
        <v>0</v>
      </c>
      <c r="BI264" s="175"/>
      <c r="BJ264" s="176">
        <f>AX264</f>
        <v>0</v>
      </c>
      <c r="BK264" s="175"/>
      <c r="BL264" s="486">
        <f t="shared" si="691"/>
        <v>0</v>
      </c>
      <c r="BM264" s="176"/>
      <c r="BN264" s="486">
        <f>L264-BH264</f>
        <v>0</v>
      </c>
      <c r="BO264" s="176"/>
      <c r="BP264" s="176"/>
      <c r="BQ264" s="176"/>
      <c r="BR264" s="176"/>
      <c r="BS264" s="176"/>
      <c r="BT264" s="176"/>
      <c r="BU264" s="176"/>
      <c r="BV264" s="176"/>
      <c r="BW264" s="176"/>
      <c r="BX264" s="175"/>
      <c r="BY264" s="271"/>
      <c r="BZ264" s="176"/>
      <c r="CA264" s="631"/>
      <c r="CB264" s="176"/>
      <c r="CC264" s="631"/>
      <c r="CD264" s="176"/>
      <c r="CE264" s="631"/>
      <c r="CF264" s="176"/>
      <c r="CG264" s="393"/>
      <c r="CH264" s="176"/>
      <c r="CI264" s="393"/>
      <c r="CJ264" s="176"/>
      <c r="CK264" s="394"/>
    </row>
    <row r="265" spans="2:89" s="580" customFormat="1" ht="42.75" customHeight="1" thickBot="1">
      <c r="B265" s="1170" t="s">
        <v>404</v>
      </c>
      <c r="C265" s="1171"/>
      <c r="D265" s="1171"/>
      <c r="E265" s="1171"/>
      <c r="F265" s="1171"/>
      <c r="G265" s="1171"/>
      <c r="H265" s="1171"/>
      <c r="I265" s="1171"/>
      <c r="J265" s="1171"/>
      <c r="K265" s="1171"/>
      <c r="L265" s="1171"/>
      <c r="M265" s="1171"/>
      <c r="N265" s="1171"/>
      <c r="O265" s="1171"/>
      <c r="P265" s="1171"/>
      <c r="Q265" s="1171"/>
      <c r="R265" s="1171"/>
      <c r="S265" s="1171"/>
      <c r="T265" s="1171"/>
      <c r="U265" s="1171"/>
      <c r="V265" s="1171"/>
      <c r="W265" s="1171"/>
      <c r="X265" s="1171"/>
      <c r="Y265" s="1171"/>
      <c r="Z265" s="1171"/>
      <c r="AA265" s="1171"/>
      <c r="AB265" s="1171"/>
      <c r="AC265" s="1171"/>
      <c r="AD265" s="1171"/>
      <c r="AE265" s="1171"/>
      <c r="AF265" s="1171"/>
      <c r="AG265" s="1171"/>
      <c r="AH265" s="1171"/>
      <c r="AI265" s="1171"/>
      <c r="AJ265" s="1171"/>
      <c r="AK265" s="1171"/>
      <c r="AL265" s="1171"/>
      <c r="AM265" s="1171"/>
      <c r="AN265" s="1171"/>
      <c r="AO265" s="1171"/>
      <c r="AP265" s="1171"/>
      <c r="AQ265" s="1171"/>
      <c r="AR265" s="1171"/>
      <c r="AS265" s="1171"/>
      <c r="AT265" s="1171"/>
      <c r="AU265" s="1171"/>
      <c r="AV265" s="1171"/>
      <c r="AW265" s="1171"/>
      <c r="AX265" s="1171"/>
      <c r="AY265" s="1171"/>
      <c r="AZ265" s="1171"/>
      <c r="BA265" s="1171"/>
      <c r="BB265" s="1171"/>
      <c r="BC265" s="1171"/>
      <c r="BD265" s="1171"/>
      <c r="BE265" s="1171"/>
      <c r="BF265" s="1171"/>
      <c r="BG265" s="1171"/>
      <c r="BH265" s="1171"/>
      <c r="BI265" s="1171"/>
      <c r="BJ265" s="1171"/>
      <c r="BK265" s="1171"/>
      <c r="BL265" s="1171"/>
      <c r="BM265" s="1171"/>
      <c r="BN265" s="1171"/>
      <c r="BO265" s="1171"/>
      <c r="BP265" s="1171"/>
      <c r="BQ265" s="1171"/>
      <c r="BR265" s="1171"/>
      <c r="BS265" s="1171"/>
      <c r="BT265" s="1171"/>
      <c r="BU265" s="1171"/>
      <c r="BV265" s="1171"/>
      <c r="BW265" s="1171"/>
      <c r="BX265" s="1171"/>
      <c r="BY265" s="1171"/>
      <c r="BZ265" s="1171"/>
      <c r="CA265" s="1171"/>
      <c r="CB265" s="1171"/>
      <c r="CC265" s="1171"/>
      <c r="CD265" s="1171"/>
      <c r="CE265" s="1171"/>
      <c r="CF265" s="1171"/>
      <c r="CG265" s="1171"/>
      <c r="CH265" s="1171"/>
      <c r="CI265" s="1171"/>
      <c r="CJ265" s="1171"/>
      <c r="CK265" s="1172"/>
    </row>
    <row r="266" spans="2:89" s="698" customFormat="1" ht="70.5" customHeight="1" thickBot="1">
      <c r="B266" s="689" t="s">
        <v>405</v>
      </c>
      <c r="C266" s="690" t="s">
        <v>406</v>
      </c>
      <c r="D266" s="880" t="s">
        <v>407</v>
      </c>
      <c r="E266" s="563">
        <f t="shared" ref="E266:M266" si="697">E267+E268+E269</f>
        <v>19784.602739999998</v>
      </c>
      <c r="F266" s="563">
        <f t="shared" si="697"/>
        <v>8368.1934600000004</v>
      </c>
      <c r="G266" s="563">
        <f t="shared" si="697"/>
        <v>11416.40928</v>
      </c>
      <c r="H266" s="563">
        <f t="shared" si="697"/>
        <v>83705.620780000012</v>
      </c>
      <c r="I266" s="563">
        <f t="shared" si="697"/>
        <v>87522.030060000005</v>
      </c>
      <c r="J266" s="563">
        <f t="shared" si="697"/>
        <v>-3816.4092799999999</v>
      </c>
      <c r="K266" s="519">
        <f t="shared" si="697"/>
        <v>103490.22352</v>
      </c>
      <c r="L266" s="519">
        <f t="shared" si="697"/>
        <v>95890.22352</v>
      </c>
      <c r="M266" s="519">
        <f t="shared" si="697"/>
        <v>7600</v>
      </c>
      <c r="N266" s="519">
        <f>O266+P266</f>
        <v>1310</v>
      </c>
      <c r="O266" s="519">
        <f>O267+O268</f>
        <v>1310</v>
      </c>
      <c r="P266" s="519">
        <f>P267+P268</f>
        <v>0</v>
      </c>
      <c r="Q266" s="564">
        <f>R266+S266</f>
        <v>104800.22352</v>
      </c>
      <c r="R266" s="564">
        <f>R267+R268+R269</f>
        <v>97200.22352</v>
      </c>
      <c r="S266" s="564">
        <f>S267+S268+S269</f>
        <v>7600</v>
      </c>
      <c r="T266" s="519">
        <f>V266+X266</f>
        <v>100199.94604</v>
      </c>
      <c r="U266" s="565">
        <f t="shared" si="669"/>
        <v>0.95610431614087077</v>
      </c>
      <c r="V266" s="519">
        <f>V267+V268+V269</f>
        <v>92599.946039999995</v>
      </c>
      <c r="W266" s="692">
        <f t="shared" si="670"/>
        <v>0.95267215122140692</v>
      </c>
      <c r="X266" s="519">
        <f>X267+X268+X269</f>
        <v>7600</v>
      </c>
      <c r="Y266" s="565">
        <f t="shared" si="671"/>
        <v>1</v>
      </c>
      <c r="Z266" s="519">
        <f>AB266+AD266</f>
        <v>4600.2774800000043</v>
      </c>
      <c r="AA266" s="565">
        <f t="shared" si="672"/>
        <v>4.3895683859129273E-2</v>
      </c>
      <c r="AB266" s="519">
        <f>AB267+AB268+AB269</f>
        <v>4600.2774800000043</v>
      </c>
      <c r="AC266" s="565">
        <f t="shared" si="673"/>
        <v>4.7327848778593057E-2</v>
      </c>
      <c r="AD266" s="519">
        <f>AD267+AD268+AD269</f>
        <v>0</v>
      </c>
      <c r="AE266" s="519">
        <f>AF266+AG266</f>
        <v>0</v>
      </c>
      <c r="AF266" s="519">
        <f>AF267+AF268</f>
        <v>0</v>
      </c>
      <c r="AG266" s="519">
        <f>AG267+AG268</f>
        <v>0</v>
      </c>
      <c r="AH266" s="519">
        <f>AH267+AH268+AH269</f>
        <v>98726.580999999991</v>
      </c>
      <c r="AI266" s="519">
        <f>AI267+AI268+AI269</f>
        <v>92599.946039999995</v>
      </c>
      <c r="AJ266" s="519">
        <f>AJ267+AJ268+AJ269</f>
        <v>6126.6349600000003</v>
      </c>
      <c r="AK266" s="519">
        <f>AK267+AK268+AK269</f>
        <v>98726.580999999991</v>
      </c>
      <c r="AL266" s="692">
        <f t="shared" si="666"/>
        <v>1</v>
      </c>
      <c r="AM266" s="693">
        <f t="shared" si="657"/>
        <v>0.95397012048119301</v>
      </c>
      <c r="AN266" s="519">
        <f>AN267+AN268+AN269</f>
        <v>92599.946039999995</v>
      </c>
      <c r="AO266" s="692">
        <f t="shared" ref="AO266:AO276" si="698">AN266/AI266</f>
        <v>1</v>
      </c>
      <c r="AP266" s="693">
        <f>AN266/L266</f>
        <v>0.96568703920776922</v>
      </c>
      <c r="AQ266" s="519">
        <f>AQ267+AQ268+AQ269</f>
        <v>6126.6349600000003</v>
      </c>
      <c r="AR266" s="692">
        <f t="shared" si="679"/>
        <v>1</v>
      </c>
      <c r="AS266" s="693">
        <f>AQ266/M266</f>
        <v>0.80613617894736844</v>
      </c>
      <c r="AT266" s="519">
        <f>AT267+AT268+AT269</f>
        <v>98726.580999999991</v>
      </c>
      <c r="AU266" s="566">
        <f>AT266/K266</f>
        <v>0.95397012048119301</v>
      </c>
      <c r="AV266" s="519">
        <f>AV267+AV268+AV269</f>
        <v>92599.946039999995</v>
      </c>
      <c r="AW266" s="694">
        <f>AV266/L266</f>
        <v>0.96568703920776922</v>
      </c>
      <c r="AX266" s="519">
        <f>AX267+AX268+AX269</f>
        <v>6126.6349600000003</v>
      </c>
      <c r="AY266" s="694">
        <f>AX266/M266</f>
        <v>0.80613617894736844</v>
      </c>
      <c r="AZ266" s="519">
        <f t="shared" ref="AZ266:BV266" si="699">AZ267+AZ268+AZ269</f>
        <v>4763.642520000004</v>
      </c>
      <c r="BA266" s="151">
        <f>AZ266/K266</f>
        <v>4.6029879518806979E-2</v>
      </c>
      <c r="BB266" s="519">
        <f t="shared" si="699"/>
        <v>3290.2774800000043</v>
      </c>
      <c r="BC266" s="151">
        <f>BB266/L266</f>
        <v>3.4312960792230764E-2</v>
      </c>
      <c r="BD266" s="519">
        <f t="shared" si="699"/>
        <v>1473.3650399999997</v>
      </c>
      <c r="BE266" s="151">
        <f t="shared" ref="BE266:BE271" si="700">BD266/M266</f>
        <v>0.19386382105263153</v>
      </c>
      <c r="BF266" s="519">
        <f t="shared" si="699"/>
        <v>98726.580999999991</v>
      </c>
      <c r="BG266" s="694">
        <f>BF266/AT266</f>
        <v>1</v>
      </c>
      <c r="BH266" s="519">
        <f t="shared" si="699"/>
        <v>92599.946039999995</v>
      </c>
      <c r="BI266" s="694">
        <f>BH266/AV266</f>
        <v>1</v>
      </c>
      <c r="BJ266" s="519">
        <f t="shared" si="699"/>
        <v>6126.6349600000003</v>
      </c>
      <c r="BK266" s="694">
        <f>BJ266/AX266</f>
        <v>1</v>
      </c>
      <c r="BL266" s="519">
        <f t="shared" si="699"/>
        <v>0</v>
      </c>
      <c r="BM266" s="694">
        <f>BL266/AT266</f>
        <v>0</v>
      </c>
      <c r="BN266" s="519">
        <f t="shared" si="699"/>
        <v>0</v>
      </c>
      <c r="BO266" s="694">
        <f>BN266/AV266</f>
        <v>0</v>
      </c>
      <c r="BP266" s="519">
        <f t="shared" si="699"/>
        <v>0</v>
      </c>
      <c r="BQ266" s="694">
        <f>BP266/AX266</f>
        <v>0</v>
      </c>
      <c r="BR266" s="519">
        <f t="shared" si="699"/>
        <v>4763.642520000004</v>
      </c>
      <c r="BS266" s="693">
        <f>BR266/K266</f>
        <v>4.6029879518806979E-2</v>
      </c>
      <c r="BT266" s="519">
        <f t="shared" si="699"/>
        <v>3290.2774800000043</v>
      </c>
      <c r="BU266" s="693">
        <f>BT266/K266</f>
        <v>3.1793123718243221E-2</v>
      </c>
      <c r="BV266" s="519">
        <f t="shared" si="699"/>
        <v>1473.3650399999997</v>
      </c>
      <c r="BW266" s="519"/>
      <c r="BX266" s="74" t="s">
        <v>81</v>
      </c>
      <c r="BY266" s="1147">
        <f>AD266/S266</f>
        <v>0</v>
      </c>
      <c r="BZ266" s="519">
        <f>CB266+CD266</f>
        <v>0</v>
      </c>
      <c r="CA266" s="1148">
        <f>SUM(BZ266/BT266)</f>
        <v>0</v>
      </c>
      <c r="CB266" s="519">
        <f>CB267+CB268</f>
        <v>0</v>
      </c>
      <c r="CC266" s="1148"/>
      <c r="CD266" s="519">
        <f>CD267+CD268</f>
        <v>0</v>
      </c>
      <c r="CE266" s="1148" t="e">
        <f>SUM(CD266/#REF!)</f>
        <v>#REF!</v>
      </c>
      <c r="CF266" s="519">
        <f>CG266+CH266</f>
        <v>0</v>
      </c>
      <c r="CG266" s="1149"/>
      <c r="CH266" s="519">
        <f>CI266+CJ266</f>
        <v>0</v>
      </c>
      <c r="CI266" s="1149"/>
      <c r="CJ266" s="519">
        <f>CK266+CL266</f>
        <v>0</v>
      </c>
      <c r="CK266" s="1150"/>
    </row>
    <row r="267" spans="2:89" s="424" customFormat="1" ht="30.75" hidden="1" customHeight="1">
      <c r="B267" s="873" t="s">
        <v>408</v>
      </c>
      <c r="C267" s="766" t="s">
        <v>409</v>
      </c>
      <c r="D267" s="874" t="s">
        <v>410</v>
      </c>
      <c r="E267" s="665">
        <f>F267+G267</f>
        <v>13782.65274</v>
      </c>
      <c r="F267" s="665">
        <v>3348.19346</v>
      </c>
      <c r="G267" s="665">
        <v>10434.459279999999</v>
      </c>
      <c r="H267" s="665">
        <f>I267+J267</f>
        <v>78861.570780000009</v>
      </c>
      <c r="I267" s="881">
        <f t="shared" ref="I267:J269" si="701">L267-F267</f>
        <v>89246.030060000005</v>
      </c>
      <c r="J267" s="881">
        <f t="shared" si="701"/>
        <v>-10384.459279999999</v>
      </c>
      <c r="K267" s="486">
        <f>L267+M267</f>
        <v>92644.22352</v>
      </c>
      <c r="L267" s="486">
        <f>16804+'[4]тыс. руб '!$O$263-100-100</f>
        <v>92594.22352</v>
      </c>
      <c r="M267" s="486">
        <v>50</v>
      </c>
      <c r="N267" s="486">
        <f>O267+P267</f>
        <v>1310</v>
      </c>
      <c r="O267" s="882">
        <f>R267-L267</f>
        <v>1310</v>
      </c>
      <c r="P267" s="882">
        <f>S267-M267</f>
        <v>0</v>
      </c>
      <c r="Q267" s="665">
        <f>R267+S267</f>
        <v>93954.22352</v>
      </c>
      <c r="R267" s="665">
        <v>93904.22352</v>
      </c>
      <c r="S267" s="665">
        <f>M267</f>
        <v>50</v>
      </c>
      <c r="T267" s="486">
        <f>V267+X267</f>
        <v>89353.946039999995</v>
      </c>
      <c r="U267" s="883">
        <f t="shared" si="669"/>
        <v>0.95103703369949366</v>
      </c>
      <c r="V267" s="486">
        <f>AV267</f>
        <v>89303.946039999995</v>
      </c>
      <c r="W267" s="661">
        <f t="shared" si="670"/>
        <v>0.95101096300508547</v>
      </c>
      <c r="X267" s="486">
        <f>AX267</f>
        <v>50</v>
      </c>
      <c r="Y267" s="883">
        <f t="shared" si="671"/>
        <v>1</v>
      </c>
      <c r="Z267" s="486">
        <f>AB267+AD267</f>
        <v>4600.2774800000043</v>
      </c>
      <c r="AA267" s="883">
        <f t="shared" si="672"/>
        <v>4.8962966300506387E-2</v>
      </c>
      <c r="AB267" s="486">
        <f>R267-V267</f>
        <v>4600.2774800000043</v>
      </c>
      <c r="AC267" s="883">
        <f t="shared" si="673"/>
        <v>4.8989036994914539E-2</v>
      </c>
      <c r="AD267" s="486">
        <f>S267-X267</f>
        <v>0</v>
      </c>
      <c r="AE267" s="486">
        <f>AF267+AG267</f>
        <v>0</v>
      </c>
      <c r="AF267" s="486"/>
      <c r="AG267" s="486"/>
      <c r="AH267" s="486">
        <f>AI267+AJ267</f>
        <v>89353.946039999995</v>
      </c>
      <c r="AI267" s="486">
        <f>AV267</f>
        <v>89303.946039999995</v>
      </c>
      <c r="AJ267" s="486">
        <f>AX267</f>
        <v>50</v>
      </c>
      <c r="AK267" s="486">
        <f>AN267+AQ267</f>
        <v>89353.946039999995</v>
      </c>
      <c r="AL267" s="661">
        <f t="shared" si="666"/>
        <v>1</v>
      </c>
      <c r="AM267" s="533">
        <f t="shared" si="657"/>
        <v>0.96448480698540584</v>
      </c>
      <c r="AN267" s="486">
        <f>AV267</f>
        <v>89303.946039999995</v>
      </c>
      <c r="AO267" s="661">
        <v>0</v>
      </c>
      <c r="AP267" s="533">
        <f t="shared" ref="AP267:AP275" si="702">AN267/L267</f>
        <v>0.96446562911897715</v>
      </c>
      <c r="AQ267" s="486">
        <f>AX267</f>
        <v>50</v>
      </c>
      <c r="AR267" s="661">
        <f t="shared" si="679"/>
        <v>1</v>
      </c>
      <c r="AS267" s="533">
        <v>0</v>
      </c>
      <c r="AT267" s="486">
        <f>AV267+AX267</f>
        <v>89353.946039999995</v>
      </c>
      <c r="AU267" s="373">
        <f>AT267/K267</f>
        <v>0.96448480698540584</v>
      </c>
      <c r="AV267" s="486">
        <f>324+88904.22352+75.72252</f>
        <v>89303.946039999995</v>
      </c>
      <c r="AW267" s="373">
        <f>AV267/L267</f>
        <v>0.96446562911897715</v>
      </c>
      <c r="AX267" s="486">
        <v>50</v>
      </c>
      <c r="AY267" s="373">
        <v>0</v>
      </c>
      <c r="AZ267" s="378">
        <f t="shared" ref="AZ267:AZ269" si="703">BB267+BD267</f>
        <v>3290.2774800000043</v>
      </c>
      <c r="BA267" s="375">
        <f>AZ267/K267</f>
        <v>3.5515193014594167E-2</v>
      </c>
      <c r="BB267" s="378">
        <f>L267-AV267</f>
        <v>3290.2774800000043</v>
      </c>
      <c r="BC267" s="375">
        <f>BB267/L267</f>
        <v>3.5534370881022799E-2</v>
      </c>
      <c r="BD267" s="378">
        <f>S267-AX267</f>
        <v>0</v>
      </c>
      <c r="BE267" s="375">
        <f t="shared" si="700"/>
        <v>0</v>
      </c>
      <c r="BF267" s="486">
        <f>BH267+BJ267</f>
        <v>89353.946039999995</v>
      </c>
      <c r="BG267" s="373">
        <f t="shared" ref="BG267:BG269" si="704">BF267/AT267</f>
        <v>1</v>
      </c>
      <c r="BH267" s="486">
        <v>89303.946039999995</v>
      </c>
      <c r="BI267" s="373">
        <f t="shared" ref="BI267:BI276" si="705">BH267/AV267</f>
        <v>1</v>
      </c>
      <c r="BJ267" s="486">
        <f>'[1]тыс. руб 1 знак'!$AX$261</f>
        <v>50</v>
      </c>
      <c r="BK267" s="373">
        <f t="shared" ref="BK267:BK277" si="706">BJ267/AX267</f>
        <v>1</v>
      </c>
      <c r="BL267" s="486">
        <f>BN267+BP267</f>
        <v>0</v>
      </c>
      <c r="BM267" s="373">
        <f t="shared" ref="BM267:BM277" si="707">BL267/AT267</f>
        <v>0</v>
      </c>
      <c r="BN267" s="870">
        <f>AV267-BH267</f>
        <v>0</v>
      </c>
      <c r="BO267" s="373">
        <f>BN267/AV267</f>
        <v>0</v>
      </c>
      <c r="BP267" s="486">
        <f>AX267-BJ267</f>
        <v>0</v>
      </c>
      <c r="BQ267" s="373">
        <f t="shared" ref="BQ267:BQ277" si="708">BP267/AX267</f>
        <v>0</v>
      </c>
      <c r="BR267" s="486">
        <f>BT267+BV267</f>
        <v>3290.2774800000043</v>
      </c>
      <c r="BS267" s="533">
        <f t="shared" ref="BS267:BS277" si="709">BR267/K267</f>
        <v>3.5515193014594167E-2</v>
      </c>
      <c r="BT267" s="486">
        <f>L267-BH267</f>
        <v>3290.2774800000043</v>
      </c>
      <c r="BU267" s="533">
        <f t="shared" ref="BU267:BU270" si="710">BT267/L267</f>
        <v>3.5534370881022799E-2</v>
      </c>
      <c r="BV267" s="486">
        <f>M267-BJ267</f>
        <v>0</v>
      </c>
      <c r="BW267" s="486"/>
      <c r="BX267" s="771"/>
      <c r="BY267" s="1143">
        <f>AD267/S267</f>
        <v>0</v>
      </c>
      <c r="BZ267" s="486">
        <f>CB267+CD267</f>
        <v>0</v>
      </c>
      <c r="CA267" s="1144">
        <f>SUM(BZ267/BT267)</f>
        <v>0</v>
      </c>
      <c r="CB267" s="486"/>
      <c r="CC267" s="1144"/>
      <c r="CD267" s="486"/>
      <c r="CE267" s="1144" t="e">
        <f>SUM(CD267/#REF!)</f>
        <v>#REF!</v>
      </c>
      <c r="CF267" s="486">
        <f>CG267+CH267</f>
        <v>0</v>
      </c>
      <c r="CG267" s="1145"/>
      <c r="CH267" s="486">
        <f>CI267+CJ267</f>
        <v>0</v>
      </c>
      <c r="CI267" s="1145"/>
      <c r="CJ267" s="486">
        <f>CK267+CL267</f>
        <v>0</v>
      </c>
      <c r="CK267" s="1146"/>
    </row>
    <row r="268" spans="2:89" s="424" customFormat="1" ht="23.25" hidden="1" customHeight="1">
      <c r="B268" s="705" t="s">
        <v>411</v>
      </c>
      <c r="C268" s="715" t="s">
        <v>412</v>
      </c>
      <c r="D268" s="871" t="s">
        <v>413</v>
      </c>
      <c r="E268" s="175">
        <f>F268+G268</f>
        <v>6001.95</v>
      </c>
      <c r="F268" s="175">
        <v>5020</v>
      </c>
      <c r="G268" s="175">
        <f>760+207+14.95</f>
        <v>981.95</v>
      </c>
      <c r="H268" s="175">
        <f>I268+J268</f>
        <v>-2655.95</v>
      </c>
      <c r="I268" s="308">
        <f t="shared" si="701"/>
        <v>-1724</v>
      </c>
      <c r="J268" s="308">
        <f t="shared" si="701"/>
        <v>-931.95</v>
      </c>
      <c r="K268" s="176">
        <f>L268+M268</f>
        <v>3346</v>
      </c>
      <c r="L268" s="176">
        <f>3096+100+100</f>
        <v>3296</v>
      </c>
      <c r="M268" s="176">
        <v>50</v>
      </c>
      <c r="N268" s="176">
        <f>O268+P268</f>
        <v>0</v>
      </c>
      <c r="O268" s="277">
        <f>R268-L268</f>
        <v>0</v>
      </c>
      <c r="P268" s="277">
        <f>S268-M268</f>
        <v>0</v>
      </c>
      <c r="Q268" s="175">
        <f t="shared" ref="Q268:Q269" si="711">R268+S268</f>
        <v>3346</v>
      </c>
      <c r="R268" s="175">
        <f t="shared" ref="R268:S269" si="712">L268</f>
        <v>3296</v>
      </c>
      <c r="S268" s="175">
        <f t="shared" si="712"/>
        <v>50</v>
      </c>
      <c r="T268" s="176">
        <f t="shared" ref="T268:T269" si="713">V268+X268</f>
        <v>3346</v>
      </c>
      <c r="U268" s="607">
        <f t="shared" si="669"/>
        <v>1</v>
      </c>
      <c r="V268" s="176">
        <f>AV268</f>
        <v>3296</v>
      </c>
      <c r="W268" s="608">
        <f t="shared" si="670"/>
        <v>1</v>
      </c>
      <c r="X268" s="176">
        <f t="shared" ref="X268:X269" si="714">M268</f>
        <v>50</v>
      </c>
      <c r="Y268" s="607">
        <v>0</v>
      </c>
      <c r="Z268" s="176">
        <f>AB268+AD268</f>
        <v>0</v>
      </c>
      <c r="AA268" s="607">
        <f t="shared" si="672"/>
        <v>0</v>
      </c>
      <c r="AB268" s="176">
        <f t="shared" ref="AB268:AB269" si="715">R268-V268</f>
        <v>0</v>
      </c>
      <c r="AC268" s="607">
        <f t="shared" si="673"/>
        <v>0</v>
      </c>
      <c r="AD268" s="176">
        <f t="shared" ref="AD268:AD269" si="716">S268-X268</f>
        <v>0</v>
      </c>
      <c r="AE268" s="176">
        <f>AF268+AG268</f>
        <v>0</v>
      </c>
      <c r="AF268" s="176"/>
      <c r="AG268" s="176"/>
      <c r="AH268" s="176">
        <f>AI268+AJ268</f>
        <v>3346</v>
      </c>
      <c r="AI268" s="176">
        <f>AV268</f>
        <v>3296</v>
      </c>
      <c r="AJ268" s="176">
        <f>AX268</f>
        <v>50</v>
      </c>
      <c r="AK268" s="176">
        <f>AN268+AQ268</f>
        <v>3346</v>
      </c>
      <c r="AL268" s="608">
        <f t="shared" si="666"/>
        <v>1</v>
      </c>
      <c r="AM268" s="707">
        <f t="shared" si="657"/>
        <v>1</v>
      </c>
      <c r="AN268" s="486">
        <f>AV268</f>
        <v>3296</v>
      </c>
      <c r="AO268" s="608">
        <f t="shared" si="698"/>
        <v>1</v>
      </c>
      <c r="AP268" s="533">
        <f t="shared" si="702"/>
        <v>1</v>
      </c>
      <c r="AQ268" s="176">
        <f>AX268</f>
        <v>50</v>
      </c>
      <c r="AR268" s="608">
        <f t="shared" si="679"/>
        <v>1</v>
      </c>
      <c r="AS268" s="707">
        <f>AQ268/M268</f>
        <v>1</v>
      </c>
      <c r="AT268" s="176">
        <f>AV268+AX268</f>
        <v>3346</v>
      </c>
      <c r="AU268" s="373">
        <f>AT268/K268</f>
        <v>1</v>
      </c>
      <c r="AV268" s="486">
        <f>3096+100+100</f>
        <v>3296</v>
      </c>
      <c r="AW268" s="373">
        <f>AV268/L268</f>
        <v>1</v>
      </c>
      <c r="AX268" s="176">
        <v>50</v>
      </c>
      <c r="AY268" s="373">
        <f>AX268/M268</f>
        <v>1</v>
      </c>
      <c r="AZ268" s="382">
        <f t="shared" si="703"/>
        <v>0</v>
      </c>
      <c r="BA268" s="375">
        <f>AZ268/K268</f>
        <v>0</v>
      </c>
      <c r="BB268" s="378">
        <f>L268-AV268</f>
        <v>0</v>
      </c>
      <c r="BC268" s="375">
        <f>BB268/L268</f>
        <v>0</v>
      </c>
      <c r="BD268" s="382">
        <f>S268-AX268</f>
        <v>0</v>
      </c>
      <c r="BE268" s="375">
        <f t="shared" si="700"/>
        <v>0</v>
      </c>
      <c r="BF268" s="176">
        <f>BH268+BJ268</f>
        <v>3346</v>
      </c>
      <c r="BG268" s="373">
        <f t="shared" si="704"/>
        <v>1</v>
      </c>
      <c r="BH268" s="176">
        <f>'[1]тыс. руб 1 знак'!$AV$262+100</f>
        <v>3296</v>
      </c>
      <c r="BI268" s="373">
        <f t="shared" si="705"/>
        <v>1</v>
      </c>
      <c r="BJ268" s="176">
        <f>AX268</f>
        <v>50</v>
      </c>
      <c r="BK268" s="373">
        <f t="shared" si="706"/>
        <v>1</v>
      </c>
      <c r="BL268" s="176">
        <f>BN268+BP268</f>
        <v>0</v>
      </c>
      <c r="BM268" s="373">
        <f t="shared" si="707"/>
        <v>0</v>
      </c>
      <c r="BN268" s="486">
        <f t="shared" ref="BN268:BN269" si="717">AV268-BH268</f>
        <v>0</v>
      </c>
      <c r="BO268" s="373">
        <f t="shared" ref="BO268:BO276" si="718">BN268/AV268</f>
        <v>0</v>
      </c>
      <c r="BP268" s="486">
        <f t="shared" ref="BP268:BP269" si="719">AX268-BJ268</f>
        <v>0</v>
      </c>
      <c r="BQ268" s="373">
        <f t="shared" si="708"/>
        <v>0</v>
      </c>
      <c r="BR268" s="176">
        <f>BT268+BV268</f>
        <v>0</v>
      </c>
      <c r="BS268" s="533">
        <f t="shared" si="709"/>
        <v>0</v>
      </c>
      <c r="BT268" s="486">
        <f t="shared" ref="BT268:BT270" si="720">L268-BH268</f>
        <v>0</v>
      </c>
      <c r="BU268" s="533">
        <f t="shared" si="710"/>
        <v>0</v>
      </c>
      <c r="BV268" s="486">
        <f t="shared" ref="BV268:BV269" si="721">M268-BJ268</f>
        <v>0</v>
      </c>
      <c r="BW268" s="176"/>
      <c r="BX268" s="175"/>
      <c r="BY268" s="271">
        <f>AD268/S268</f>
        <v>0</v>
      </c>
      <c r="BZ268" s="176">
        <f>CB268+CD268</f>
        <v>0</v>
      </c>
      <c r="CA268" s="631" t="e">
        <f>SUM(BZ268/BT268)</f>
        <v>#DIV/0!</v>
      </c>
      <c r="CB268" s="176"/>
      <c r="CC268" s="631"/>
      <c r="CD268" s="176"/>
      <c r="CE268" s="631" t="e">
        <f>SUM(CD268/#REF!)</f>
        <v>#REF!</v>
      </c>
      <c r="CF268" s="176">
        <f>CG268+CH268</f>
        <v>0</v>
      </c>
      <c r="CG268" s="393"/>
      <c r="CH268" s="176">
        <f>CI268+CJ268</f>
        <v>0</v>
      </c>
      <c r="CI268" s="393"/>
      <c r="CJ268" s="176">
        <f>CK268+CL268</f>
        <v>0</v>
      </c>
      <c r="CK268" s="394"/>
    </row>
    <row r="269" spans="2:89" s="424" customFormat="1" ht="52.5" hidden="1" customHeight="1" thickBot="1">
      <c r="B269" s="705" t="s">
        <v>414</v>
      </c>
      <c r="C269" s="715" t="s">
        <v>415</v>
      </c>
      <c r="D269" s="871"/>
      <c r="E269" s="175">
        <f>F269+G269</f>
        <v>0</v>
      </c>
      <c r="F269" s="175">
        <v>0</v>
      </c>
      <c r="G269" s="175">
        <v>0</v>
      </c>
      <c r="H269" s="175">
        <f>I269+J269</f>
        <v>7500</v>
      </c>
      <c r="I269" s="308">
        <f t="shared" si="701"/>
        <v>0</v>
      </c>
      <c r="J269" s="308">
        <f t="shared" si="701"/>
        <v>7500</v>
      </c>
      <c r="K269" s="176">
        <f>H269</f>
        <v>7500</v>
      </c>
      <c r="L269" s="176">
        <v>0</v>
      </c>
      <c r="M269" s="176">
        <v>7500</v>
      </c>
      <c r="N269" s="176"/>
      <c r="O269" s="277"/>
      <c r="P269" s="277"/>
      <c r="Q269" s="175">
        <f t="shared" si="711"/>
        <v>7500</v>
      </c>
      <c r="R269" s="175">
        <f t="shared" si="712"/>
        <v>0</v>
      </c>
      <c r="S269" s="175">
        <f t="shared" si="712"/>
        <v>7500</v>
      </c>
      <c r="T269" s="176">
        <f t="shared" si="713"/>
        <v>7500</v>
      </c>
      <c r="U269" s="607">
        <f t="shared" si="669"/>
        <v>1</v>
      </c>
      <c r="V269" s="176">
        <f t="shared" ref="V269" si="722">L269</f>
        <v>0</v>
      </c>
      <c r="W269" s="608">
        <v>0</v>
      </c>
      <c r="X269" s="176">
        <f t="shared" si="714"/>
        <v>7500</v>
      </c>
      <c r="Y269" s="607">
        <f t="shared" si="671"/>
        <v>1</v>
      </c>
      <c r="Z269" s="176">
        <f>AB269+AD269</f>
        <v>0</v>
      </c>
      <c r="AA269" s="607">
        <f t="shared" si="672"/>
        <v>0</v>
      </c>
      <c r="AB269" s="176">
        <f t="shared" si="715"/>
        <v>0</v>
      </c>
      <c r="AC269" s="607">
        <v>0</v>
      </c>
      <c r="AD269" s="176">
        <f t="shared" si="716"/>
        <v>0</v>
      </c>
      <c r="AE269" s="176"/>
      <c r="AF269" s="176"/>
      <c r="AG269" s="176"/>
      <c r="AH269" s="176">
        <f>AI269+AJ269</f>
        <v>6026.6349600000003</v>
      </c>
      <c r="AI269" s="176">
        <f>AV269</f>
        <v>0</v>
      </c>
      <c r="AJ269" s="176">
        <f>AX269</f>
        <v>6026.6349600000003</v>
      </c>
      <c r="AK269" s="176">
        <f>AN269+AQ269</f>
        <v>6026.6349600000003</v>
      </c>
      <c r="AL269" s="608">
        <f t="shared" si="666"/>
        <v>1</v>
      </c>
      <c r="AM269" s="707">
        <f t="shared" si="657"/>
        <v>0.80355132800000006</v>
      </c>
      <c r="AN269" s="176">
        <f>AV269</f>
        <v>0</v>
      </c>
      <c r="AO269" s="608">
        <v>0</v>
      </c>
      <c r="AP269" s="707">
        <v>0</v>
      </c>
      <c r="AQ269" s="176">
        <f>AX269</f>
        <v>6026.6349600000003</v>
      </c>
      <c r="AR269" s="608">
        <f t="shared" si="679"/>
        <v>1</v>
      </c>
      <c r="AS269" s="707">
        <f>AQ269/M269</f>
        <v>0.80355132800000006</v>
      </c>
      <c r="AT269" s="176">
        <f>AV269+AX269</f>
        <v>6026.6349600000003</v>
      </c>
      <c r="AU269" s="261">
        <f>AT269/K269</f>
        <v>0.80355132800000006</v>
      </c>
      <c r="AV269" s="176">
        <v>0</v>
      </c>
      <c r="AW269" s="261">
        <v>0</v>
      </c>
      <c r="AX269" s="176">
        <f>6310.40761-283.77265</f>
        <v>6026.6349600000003</v>
      </c>
      <c r="AY269" s="261">
        <f>AX269/M269</f>
        <v>0.80355132800000006</v>
      </c>
      <c r="AZ269" s="382">
        <f t="shared" si="703"/>
        <v>1473.3650399999997</v>
      </c>
      <c r="BA269" s="375">
        <f>AZ269/K269</f>
        <v>0.19644867199999996</v>
      </c>
      <c r="BB269" s="378">
        <f>L269-AV269</f>
        <v>0</v>
      </c>
      <c r="BC269" s="375">
        <v>0</v>
      </c>
      <c r="BD269" s="382">
        <f>S269-AX269</f>
        <v>1473.3650399999997</v>
      </c>
      <c r="BE269" s="375">
        <f t="shared" si="700"/>
        <v>0.19644867199999996</v>
      </c>
      <c r="BF269" s="176">
        <f>BH269+BJ269</f>
        <v>6026.6349600000003</v>
      </c>
      <c r="BG269" s="261">
        <f t="shared" si="704"/>
        <v>1</v>
      </c>
      <c r="BH269" s="176">
        <f>AV269</f>
        <v>0</v>
      </c>
      <c r="BI269" s="261">
        <v>0</v>
      </c>
      <c r="BJ269" s="176">
        <f>AX269</f>
        <v>6026.6349600000003</v>
      </c>
      <c r="BK269" s="261">
        <f t="shared" si="706"/>
        <v>1</v>
      </c>
      <c r="BL269" s="176">
        <f>BN269+BP269</f>
        <v>0</v>
      </c>
      <c r="BM269" s="261">
        <f t="shared" si="707"/>
        <v>0</v>
      </c>
      <c r="BN269" s="486">
        <f t="shared" si="717"/>
        <v>0</v>
      </c>
      <c r="BO269" s="373">
        <v>0</v>
      </c>
      <c r="BP269" s="486">
        <f t="shared" si="719"/>
        <v>0</v>
      </c>
      <c r="BQ269" s="261">
        <f t="shared" si="708"/>
        <v>0</v>
      </c>
      <c r="BR269" s="176">
        <f>BT269+BV269</f>
        <v>1473.3650399999997</v>
      </c>
      <c r="BS269" s="707">
        <f t="shared" si="709"/>
        <v>0.19644867199999996</v>
      </c>
      <c r="BT269" s="486">
        <f t="shared" si="720"/>
        <v>0</v>
      </c>
      <c r="BU269" s="707">
        <v>0</v>
      </c>
      <c r="BV269" s="486">
        <f t="shared" si="721"/>
        <v>1473.3650399999997</v>
      </c>
      <c r="BW269" s="176"/>
      <c r="BX269" s="609" t="s">
        <v>416</v>
      </c>
      <c r="BY269" s="271">
        <f>AD269/S269</f>
        <v>0</v>
      </c>
      <c r="BZ269" s="176"/>
      <c r="CA269" s="631"/>
      <c r="CB269" s="176"/>
      <c r="CC269" s="631"/>
      <c r="CD269" s="176"/>
      <c r="CE269" s="631"/>
      <c r="CF269" s="176"/>
      <c r="CG269" s="884"/>
      <c r="CH269" s="176"/>
      <c r="CI269" s="884"/>
      <c r="CJ269" s="176"/>
      <c r="CK269" s="885"/>
    </row>
    <row r="270" spans="2:89" s="424" customFormat="1" ht="52.5" hidden="1" customHeight="1" thickBot="1">
      <c r="B270" s="886"/>
      <c r="C270" s="887"/>
      <c r="D270" s="888"/>
      <c r="E270" s="529"/>
      <c r="F270" s="529"/>
      <c r="G270" s="529"/>
      <c r="H270" s="529"/>
      <c r="I270" s="889"/>
      <c r="J270" s="889"/>
      <c r="K270" s="527"/>
      <c r="L270" s="527"/>
      <c r="M270" s="527"/>
      <c r="N270" s="527"/>
      <c r="O270" s="528"/>
      <c r="P270" s="528"/>
      <c r="Q270" s="529"/>
      <c r="R270" s="529"/>
      <c r="S270" s="529"/>
      <c r="T270" s="527"/>
      <c r="U270" s="722"/>
      <c r="V270" s="527"/>
      <c r="W270" s="532"/>
      <c r="X270" s="527"/>
      <c r="Y270" s="722"/>
      <c r="Z270" s="527"/>
      <c r="AA270" s="722"/>
      <c r="AB270" s="527"/>
      <c r="AC270" s="722"/>
      <c r="AD270" s="527"/>
      <c r="AE270" s="527"/>
      <c r="AF270" s="527"/>
      <c r="AG270" s="527"/>
      <c r="AH270" s="527"/>
      <c r="AI270" s="527"/>
      <c r="AJ270" s="527"/>
      <c r="AK270" s="527"/>
      <c r="AL270" s="532"/>
      <c r="AM270" s="890"/>
      <c r="AN270" s="641"/>
      <c r="AO270" s="891"/>
      <c r="AP270" s="890"/>
      <c r="AQ270" s="527"/>
      <c r="AR270" s="532"/>
      <c r="AS270" s="531"/>
      <c r="AT270" s="527"/>
      <c r="AU270" s="892"/>
      <c r="AV270" s="527"/>
      <c r="AW270" s="694"/>
      <c r="AX270" s="527"/>
      <c r="AY270" s="723"/>
      <c r="AZ270" s="237"/>
      <c r="BA270" s="893"/>
      <c r="BB270" s="237"/>
      <c r="BC270" s="894"/>
      <c r="BD270" s="237"/>
      <c r="BE270" s="894" t="e">
        <f t="shared" si="700"/>
        <v>#DIV/0!</v>
      </c>
      <c r="BF270" s="895"/>
      <c r="BG270" s="896"/>
      <c r="BH270" s="527"/>
      <c r="BI270" s="896" t="e">
        <f t="shared" si="705"/>
        <v>#DIV/0!</v>
      </c>
      <c r="BJ270" s="527"/>
      <c r="BK270" s="896" t="e">
        <f t="shared" si="706"/>
        <v>#DIV/0!</v>
      </c>
      <c r="BL270" s="895"/>
      <c r="BM270" s="896" t="e">
        <f t="shared" si="707"/>
        <v>#DIV/0!</v>
      </c>
      <c r="BN270" s="527"/>
      <c r="BO270" s="373" t="e">
        <f t="shared" si="718"/>
        <v>#DIV/0!</v>
      </c>
      <c r="BP270" s="527"/>
      <c r="BQ270" s="896" t="e">
        <f t="shared" si="708"/>
        <v>#DIV/0!</v>
      </c>
      <c r="BR270" s="527"/>
      <c r="BS270" s="707" t="e">
        <f t="shared" si="709"/>
        <v>#DIV/0!</v>
      </c>
      <c r="BT270" s="486">
        <f t="shared" si="720"/>
        <v>0</v>
      </c>
      <c r="BU270" s="895" t="e">
        <f t="shared" si="710"/>
        <v>#DIV/0!</v>
      </c>
      <c r="BV270" s="527"/>
      <c r="BW270" s="527"/>
      <c r="BX270" s="513"/>
      <c r="BY270" s="271"/>
      <c r="BZ270" s="176"/>
      <c r="CA270" s="631"/>
      <c r="CB270" s="176"/>
      <c r="CC270" s="631"/>
      <c r="CD270" s="176"/>
      <c r="CE270" s="631"/>
      <c r="CF270" s="176"/>
      <c r="CG270" s="884"/>
      <c r="CH270" s="176"/>
      <c r="CI270" s="884"/>
      <c r="CJ270" s="176"/>
      <c r="CK270" s="885"/>
    </row>
    <row r="271" spans="2:89" s="571" customFormat="1" ht="33.75" hidden="1" customHeight="1" thickBot="1">
      <c r="B271" s="1173" t="s">
        <v>51</v>
      </c>
      <c r="C271" s="1174"/>
      <c r="D271" s="897"/>
      <c r="E271" s="74" t="e">
        <f>E207+E213+E243+#REF!+E266</f>
        <v>#REF!</v>
      </c>
      <c r="F271" s="74" t="e">
        <f>F207+F213+F243+#REF!+F266</f>
        <v>#REF!</v>
      </c>
      <c r="G271" s="74" t="e">
        <f>G207+G213+G243+#REF!+G266</f>
        <v>#REF!</v>
      </c>
      <c r="H271" s="74" t="e">
        <f>H207+H213+H243+#REF!+H266</f>
        <v>#REF!</v>
      </c>
      <c r="I271" s="74" t="e">
        <f>I207+I213+I243+#REF!+I266</f>
        <v>#REF!</v>
      </c>
      <c r="J271" s="74" t="e">
        <f>J207+J213+J243+#REF!+J266</f>
        <v>#REF!</v>
      </c>
      <c r="K271" s="75">
        <f t="shared" ref="K271:T271" si="723">K207+K213+K243+K266+K259</f>
        <v>9082303.7827800009</v>
      </c>
      <c r="L271" s="75">
        <f t="shared" si="723"/>
        <v>8158811.7842100011</v>
      </c>
      <c r="M271" s="75">
        <f t="shared" si="723"/>
        <v>923491.99857000005</v>
      </c>
      <c r="N271" s="75">
        <f t="shared" si="723"/>
        <v>101464.14708000013</v>
      </c>
      <c r="O271" s="75">
        <f t="shared" si="723"/>
        <v>101464.14708000013</v>
      </c>
      <c r="P271" s="75">
        <f t="shared" si="723"/>
        <v>0</v>
      </c>
      <c r="Q271" s="74">
        <f t="shared" si="723"/>
        <v>9173439.152350001</v>
      </c>
      <c r="R271" s="74">
        <f t="shared" si="723"/>
        <v>8249947.1537799994</v>
      </c>
      <c r="S271" s="74">
        <f t="shared" si="723"/>
        <v>923491.99857000005</v>
      </c>
      <c r="T271" s="75" t="e">
        <f t="shared" si="723"/>
        <v>#REF!</v>
      </c>
      <c r="U271" s="76" t="e">
        <f t="shared" si="669"/>
        <v>#REF!</v>
      </c>
      <c r="V271" s="75" t="e">
        <f>V207+V213+V243+V266+V259</f>
        <v>#REF!</v>
      </c>
      <c r="W271" s="76" t="e">
        <f t="shared" si="670"/>
        <v>#REF!</v>
      </c>
      <c r="X271" s="75" t="e">
        <f>X207+X213+X243+X266+X259</f>
        <v>#REF!</v>
      </c>
      <c r="Y271" s="76" t="e">
        <f t="shared" si="671"/>
        <v>#REF!</v>
      </c>
      <c r="Z271" s="75" t="e">
        <f>Z207+Z213+Z243+Z266+Z259</f>
        <v>#REF!</v>
      </c>
      <c r="AA271" s="76" t="e">
        <f t="shared" si="672"/>
        <v>#REF!</v>
      </c>
      <c r="AB271" s="75" t="e">
        <f>AB207+AB213+AB243+AB266+AB259</f>
        <v>#REF!</v>
      </c>
      <c r="AC271" s="76" t="e">
        <f t="shared" si="673"/>
        <v>#REF!</v>
      </c>
      <c r="AD271" s="75" t="e">
        <f t="shared" ref="AD271:AT271" si="724">AD207+AD213+AD243+AD266+AD259</f>
        <v>#REF!</v>
      </c>
      <c r="AE271" s="75" t="e">
        <f t="shared" si="724"/>
        <v>#REF!</v>
      </c>
      <c r="AF271" s="75" t="e">
        <f t="shared" si="724"/>
        <v>#REF!</v>
      </c>
      <c r="AG271" s="75" t="e">
        <f t="shared" si="724"/>
        <v>#REF!</v>
      </c>
      <c r="AH271" s="75" t="e">
        <f t="shared" si="724"/>
        <v>#REF!</v>
      </c>
      <c r="AI271" s="75" t="e">
        <f t="shared" si="724"/>
        <v>#REF!</v>
      </c>
      <c r="AJ271" s="75" t="e">
        <f t="shared" si="724"/>
        <v>#REF!</v>
      </c>
      <c r="AK271" s="75">
        <f t="shared" si="724"/>
        <v>2672554.33268</v>
      </c>
      <c r="AL271" s="75" t="e">
        <f t="shared" si="724"/>
        <v>#REF!</v>
      </c>
      <c r="AM271" s="142">
        <f>AK271/K271</f>
        <v>0.29425951791517352</v>
      </c>
      <c r="AN271" s="75">
        <f t="shared" si="724"/>
        <v>2133905.5879199998</v>
      </c>
      <c r="AO271" s="75" t="e">
        <f t="shared" si="724"/>
        <v>#REF!</v>
      </c>
      <c r="AP271" s="142">
        <f t="shared" si="702"/>
        <v>0.26154612269029331</v>
      </c>
      <c r="AQ271" s="75">
        <f t="shared" si="724"/>
        <v>538648.74475999991</v>
      </c>
      <c r="AR271" s="75" t="e">
        <f t="shared" si="724"/>
        <v>#REF!</v>
      </c>
      <c r="AS271" s="142">
        <f>AQ271/M271</f>
        <v>0.58327386224686462</v>
      </c>
      <c r="AT271" s="75">
        <f t="shared" si="724"/>
        <v>8619516.708039999</v>
      </c>
      <c r="AU271" s="539">
        <f>AT271/K271</f>
        <v>0.94904518877496213</v>
      </c>
      <c r="AV271" s="75">
        <f t="shared" ref="AV271:AX271" si="725">AV207+AV213+AV243+AV266+AV259</f>
        <v>7801931.2298399983</v>
      </c>
      <c r="AW271" s="143">
        <f>AV271/L271</f>
        <v>0.95625826850661211</v>
      </c>
      <c r="AX271" s="75">
        <f t="shared" si="725"/>
        <v>817585.47820000001</v>
      </c>
      <c r="AY271" s="143">
        <f>AX271/M271</f>
        <v>0.88531950408450411</v>
      </c>
      <c r="AZ271" s="75">
        <f>AZ207+AZ213+AZ243+AZ266+AZ259</f>
        <v>462787.04407000006</v>
      </c>
      <c r="BA271" s="143">
        <f>AZ271/K271</f>
        <v>5.0954807848141111E-2</v>
      </c>
      <c r="BB271" s="75">
        <f>BB207+BB213+BB243+BB266+BB259</f>
        <v>356880.55437000014</v>
      </c>
      <c r="BC271" s="143">
        <f>BB271/L271</f>
        <v>4.3741731493387559E-2</v>
      </c>
      <c r="BD271" s="75">
        <f>BD207+BD213+BD243+BD266+BD259</f>
        <v>105906.52037</v>
      </c>
      <c r="BE271" s="143">
        <f t="shared" si="700"/>
        <v>0.11468049591549585</v>
      </c>
      <c r="BF271" s="75">
        <f t="shared" ref="BF271:BV271" si="726">BF207+BF213+BF243+BF266+BF259</f>
        <v>8619517.1070799995</v>
      </c>
      <c r="BG271" s="143">
        <f>BF271/AT271</f>
        <v>1.000000046294939</v>
      </c>
      <c r="BH271" s="75">
        <f t="shared" si="726"/>
        <v>7801931.6288799988</v>
      </c>
      <c r="BI271" s="143">
        <f t="shared" si="705"/>
        <v>1.000000051146311</v>
      </c>
      <c r="BJ271" s="75">
        <f t="shared" si="726"/>
        <v>817585.47820000001</v>
      </c>
      <c r="BK271" s="143">
        <f t="shared" si="706"/>
        <v>1</v>
      </c>
      <c r="BL271" s="78">
        <f t="shared" si="726"/>
        <v>-0.3990400000484442</v>
      </c>
      <c r="BM271" s="143">
        <f t="shared" si="707"/>
        <v>-4.629493898146667E-8</v>
      </c>
      <c r="BN271" s="75">
        <f t="shared" si="726"/>
        <v>-0.3990400000475347</v>
      </c>
      <c r="BO271" s="143">
        <f t="shared" si="718"/>
        <v>-5.1146310867407914E-8</v>
      </c>
      <c r="BP271" s="75">
        <f t="shared" si="726"/>
        <v>-9.0949470177292824E-13</v>
      </c>
      <c r="BQ271" s="143">
        <f t="shared" si="708"/>
        <v>-1.1124154305862624E-18</v>
      </c>
      <c r="BR271" s="78">
        <f t="shared" ref="BR271" si="727">BR207+BR213+BR243+BR266+BR259</f>
        <v>462786.67569999985</v>
      </c>
      <c r="BS271" s="142">
        <f t="shared" si="709"/>
        <v>5.0954767289048498E-2</v>
      </c>
      <c r="BT271" s="75">
        <f t="shared" ref="BT271" si="728">BT207+BT213+BT243+BT266+BT259</f>
        <v>356880.1553299998</v>
      </c>
      <c r="BU271" s="142">
        <f>BT271/L271</f>
        <v>4.3741682584304852E-2</v>
      </c>
      <c r="BV271" s="75">
        <f t="shared" si="726"/>
        <v>105906.52037000001</v>
      </c>
      <c r="BW271" s="142">
        <f>BV271/M271</f>
        <v>0.11468049591549588</v>
      </c>
      <c r="BX271" s="564"/>
      <c r="BY271" s="475" t="e">
        <f>AD271/S271</f>
        <v>#REF!</v>
      </c>
      <c r="BZ271" s="476" t="e">
        <f t="shared" ref="BZ271:CE271" si="729">BZ207+BZ213+BZ243+BZ266+BZ259</f>
        <v>#REF!</v>
      </c>
      <c r="CA271" s="476" t="e">
        <f t="shared" si="729"/>
        <v>#REF!</v>
      </c>
      <c r="CB271" s="476" t="e">
        <f t="shared" si="729"/>
        <v>#REF!</v>
      </c>
      <c r="CC271" s="476" t="e">
        <f t="shared" si="729"/>
        <v>#REF!</v>
      </c>
      <c r="CD271" s="476" t="e">
        <f t="shared" si="729"/>
        <v>#REF!</v>
      </c>
      <c r="CE271" s="476" t="e">
        <f t="shared" si="729"/>
        <v>#REF!</v>
      </c>
      <c r="CF271" s="476" t="s">
        <v>417</v>
      </c>
      <c r="CG271" s="734" t="s">
        <v>207</v>
      </c>
      <c r="CH271" s="476">
        <f>CH207+CH213+CH243+CH266+CH259</f>
        <v>0</v>
      </c>
      <c r="CI271" s="898"/>
      <c r="CJ271" s="476">
        <f>CJ207+CJ213+CJ243+CJ266+CJ259</f>
        <v>0</v>
      </c>
      <c r="CK271" s="899"/>
    </row>
    <row r="272" spans="2:89" s="922" customFormat="1" ht="34.5" hidden="1" customHeight="1" thickBot="1">
      <c r="B272" s="1175" t="s">
        <v>418</v>
      </c>
      <c r="C272" s="1176"/>
      <c r="D272" s="900"/>
      <c r="E272" s="901"/>
      <c r="F272" s="901"/>
      <c r="G272" s="901"/>
      <c r="H272" s="901"/>
      <c r="I272" s="901"/>
      <c r="J272" s="901"/>
      <c r="K272" s="902">
        <f>L272+M272</f>
        <v>1</v>
      </c>
      <c r="L272" s="903">
        <f>L271/K271</f>
        <v>0.89831963115779767</v>
      </c>
      <c r="M272" s="903">
        <f>M271/K271</f>
        <v>0.10168036884220234</v>
      </c>
      <c r="N272" s="902">
        <f>O272+P272</f>
        <v>1</v>
      </c>
      <c r="O272" s="903">
        <f>O271/N271</f>
        <v>1</v>
      </c>
      <c r="P272" s="903">
        <f>P271/N271</f>
        <v>0</v>
      </c>
      <c r="Q272" s="902">
        <f>R272+S272</f>
        <v>0.99999999999999989</v>
      </c>
      <c r="R272" s="903">
        <f>R271/Q271</f>
        <v>0.89932979515829392</v>
      </c>
      <c r="S272" s="903">
        <f>S271/Q271</f>
        <v>0.10067020484170595</v>
      </c>
      <c r="T272" s="904" t="e">
        <f>T271/Q271</f>
        <v>#REF!</v>
      </c>
      <c r="U272" s="905" t="e">
        <f t="shared" si="669"/>
        <v>#REF!</v>
      </c>
      <c r="V272" s="904" t="e">
        <f>V271/R271</f>
        <v>#REF!</v>
      </c>
      <c r="W272" s="905"/>
      <c r="X272" s="904" t="e">
        <f>X271/S271</f>
        <v>#REF!</v>
      </c>
      <c r="Y272" s="905"/>
      <c r="Z272" s="904" t="e">
        <f>Z271/Q271</f>
        <v>#REF!</v>
      </c>
      <c r="AA272" s="905" t="e">
        <f t="shared" si="672"/>
        <v>#REF!</v>
      </c>
      <c r="AB272" s="903" t="e">
        <f>AB271/R271</f>
        <v>#REF!</v>
      </c>
      <c r="AC272" s="906"/>
      <c r="AD272" s="903" t="e">
        <f>AD271/S271</f>
        <v>#REF!</v>
      </c>
      <c r="AE272" s="907"/>
      <c r="AF272" s="907"/>
      <c r="AG272" s="907"/>
      <c r="AH272" s="907"/>
      <c r="AI272" s="907"/>
      <c r="AJ272" s="907"/>
      <c r="AK272" s="902">
        <f>AK271/K271</f>
        <v>0.29425951791517352</v>
      </c>
      <c r="AL272" s="908"/>
      <c r="AM272" s="909"/>
      <c r="AN272" s="910">
        <f>AN271/L271</f>
        <v>0.26154612269029331</v>
      </c>
      <c r="AO272" s="911"/>
      <c r="AP272" s="912"/>
      <c r="AQ272" s="903">
        <f>AQ271/M271</f>
        <v>0.58327386224686462</v>
      </c>
      <c r="AR272" s="906"/>
      <c r="AS272" s="906"/>
      <c r="AT272" s="902">
        <f>AT271/K271</f>
        <v>0.94904518877496213</v>
      </c>
      <c r="AU272" s="906"/>
      <c r="AV272" s="903">
        <f>AV271/L271</f>
        <v>0.95625826850661211</v>
      </c>
      <c r="AW272" s="906"/>
      <c r="AX272" s="903">
        <f>AX271/M271</f>
        <v>0.88531950408450411</v>
      </c>
      <c r="AY272" s="906"/>
      <c r="AZ272" s="902">
        <f>AZ271/K271</f>
        <v>5.0954807848141111E-2</v>
      </c>
      <c r="BA272" s="904"/>
      <c r="BB272" s="903">
        <f>BB271/L271</f>
        <v>4.3741731493387559E-2</v>
      </c>
      <c r="BC272" s="907"/>
      <c r="BD272" s="903">
        <f>BD271/M271</f>
        <v>0.11468049591549585</v>
      </c>
      <c r="BE272" s="904"/>
      <c r="BF272" s="902">
        <f>BF271/AT271</f>
        <v>1.000000046294939</v>
      </c>
      <c r="BG272" s="902"/>
      <c r="BH272" s="903">
        <f>BH271/AV271</f>
        <v>1.000000051146311</v>
      </c>
      <c r="BI272" s="902"/>
      <c r="BJ272" s="903">
        <f>BJ271/AX271</f>
        <v>1</v>
      </c>
      <c r="BK272" s="902"/>
      <c r="BL272" s="902">
        <f>BL271/AT271</f>
        <v>-4.629493898146667E-8</v>
      </c>
      <c r="BM272" s="902"/>
      <c r="BN272" s="903">
        <f>BN271/AV271</f>
        <v>-5.1146310867407914E-8</v>
      </c>
      <c r="BO272" s="902"/>
      <c r="BP272" s="903">
        <f>BP271/AX271</f>
        <v>-1.1124154305862624E-18</v>
      </c>
      <c r="BQ272" s="903"/>
      <c r="BR272" s="913">
        <f>BR271/K271</f>
        <v>5.0954767289048498E-2</v>
      </c>
      <c r="BS272" s="914"/>
      <c r="BT272" s="915">
        <f>BT271/L271</f>
        <v>4.3741682584304852E-2</v>
      </c>
      <c r="BU272" s="914"/>
      <c r="BV272" s="915">
        <f>BV271/M271</f>
        <v>0.11468049591549588</v>
      </c>
      <c r="BW272" s="914"/>
      <c r="BX272" s="916"/>
      <c r="BY272" s="917"/>
      <c r="BZ272" s="918"/>
      <c r="CA272" s="919"/>
      <c r="CB272" s="918"/>
      <c r="CC272" s="918"/>
      <c r="CD272" s="918"/>
      <c r="CE272" s="918"/>
      <c r="CF272" s="918"/>
      <c r="CG272" s="920"/>
      <c r="CH272" s="918"/>
      <c r="CI272" s="920"/>
      <c r="CJ272" s="918"/>
      <c r="CK272" s="921"/>
    </row>
    <row r="273" spans="2:108" s="938" customFormat="1" ht="24.75" hidden="1" customHeight="1" thickBot="1">
      <c r="B273" s="1177" t="s">
        <v>419</v>
      </c>
      <c r="C273" s="1178"/>
      <c r="D273" s="923"/>
      <c r="E273" s="924" t="e">
        <f t="shared" ref="E273:J273" si="730">E207+E213</f>
        <v>#REF!</v>
      </c>
      <c r="F273" s="924" t="e">
        <f t="shared" si="730"/>
        <v>#REF!</v>
      </c>
      <c r="G273" s="924" t="e">
        <f t="shared" si="730"/>
        <v>#REF!</v>
      </c>
      <c r="H273" s="924" t="e">
        <f t="shared" si="730"/>
        <v>#REF!</v>
      </c>
      <c r="I273" s="924" t="e">
        <f t="shared" si="730"/>
        <v>#REF!</v>
      </c>
      <c r="J273" s="924" t="e">
        <f t="shared" si="730"/>
        <v>#REF!</v>
      </c>
      <c r="K273" s="925">
        <f t="shared" ref="K273:T273" si="731">K207+K213+K243</f>
        <v>8941820.1440600008</v>
      </c>
      <c r="L273" s="925">
        <f>L207+L213+L243</f>
        <v>8053399.4218800003</v>
      </c>
      <c r="M273" s="925">
        <f>M207+M213+M243</f>
        <v>888420.72218000004</v>
      </c>
      <c r="N273" s="925">
        <f t="shared" si="731"/>
        <v>100154.14708000013</v>
      </c>
      <c r="O273" s="925">
        <f t="shared" si="731"/>
        <v>100154.14708000013</v>
      </c>
      <c r="P273" s="925">
        <f t="shared" si="731"/>
        <v>0</v>
      </c>
      <c r="Q273" s="74">
        <f t="shared" si="731"/>
        <v>9031645.5136300009</v>
      </c>
      <c r="R273" s="74">
        <f t="shared" si="731"/>
        <v>8143224.7914499994</v>
      </c>
      <c r="S273" s="74">
        <f t="shared" si="731"/>
        <v>888420.72218000004</v>
      </c>
      <c r="T273" s="925" t="e">
        <f t="shared" si="731"/>
        <v>#REF!</v>
      </c>
      <c r="U273" s="926" t="e">
        <f t="shared" si="669"/>
        <v>#REF!</v>
      </c>
      <c r="V273" s="925" t="e">
        <f>V207+V213+V243</f>
        <v>#REF!</v>
      </c>
      <c r="W273" s="926" t="e">
        <f t="shared" si="670"/>
        <v>#REF!</v>
      </c>
      <c r="X273" s="925" t="e">
        <f>X207+X213+X243</f>
        <v>#REF!</v>
      </c>
      <c r="Y273" s="926" t="e">
        <f t="shared" si="671"/>
        <v>#REF!</v>
      </c>
      <c r="Z273" s="925" t="e">
        <f>Z207+Z213+Z243</f>
        <v>#REF!</v>
      </c>
      <c r="AA273" s="926" t="e">
        <f t="shared" si="672"/>
        <v>#REF!</v>
      </c>
      <c r="AB273" s="925" t="e">
        <f>AB207+AB213+AB243</f>
        <v>#REF!</v>
      </c>
      <c r="AC273" s="926" t="e">
        <f t="shared" si="673"/>
        <v>#REF!</v>
      </c>
      <c r="AD273" s="925" t="e">
        <f t="shared" ref="AD273:AT273" si="732">AD207+AD213+AD243</f>
        <v>#REF!</v>
      </c>
      <c r="AE273" s="925" t="e">
        <f t="shared" si="732"/>
        <v>#REF!</v>
      </c>
      <c r="AF273" s="925" t="e">
        <f t="shared" si="732"/>
        <v>#REF!</v>
      </c>
      <c r="AG273" s="925" t="e">
        <f t="shared" si="732"/>
        <v>#REF!</v>
      </c>
      <c r="AH273" s="925" t="e">
        <f t="shared" si="732"/>
        <v>#REF!</v>
      </c>
      <c r="AI273" s="925" t="e">
        <f t="shared" si="732"/>
        <v>#REF!</v>
      </c>
      <c r="AJ273" s="925" t="e">
        <f t="shared" si="732"/>
        <v>#REF!</v>
      </c>
      <c r="AK273" s="75">
        <f t="shared" si="732"/>
        <v>2557060.3992900001</v>
      </c>
      <c r="AL273" s="925" t="e">
        <f t="shared" si="732"/>
        <v>#REF!</v>
      </c>
      <c r="AM273" s="142">
        <f t="shared" si="657"/>
        <v>0.28596643167651281</v>
      </c>
      <c r="AN273" s="519">
        <f t="shared" ref="AN273" si="733">AN207+AN213+AN243</f>
        <v>2041305.64188</v>
      </c>
      <c r="AO273" s="927" t="e">
        <f t="shared" si="732"/>
        <v>#REF!</v>
      </c>
      <c r="AP273" s="142">
        <f t="shared" si="702"/>
        <v>0.25347130260720063</v>
      </c>
      <c r="AQ273" s="75">
        <f t="shared" ref="AQ273" si="734">AQ207+AQ213+AQ243</f>
        <v>515754.75740999996</v>
      </c>
      <c r="AR273" s="925" t="e">
        <f t="shared" si="732"/>
        <v>#REF!</v>
      </c>
      <c r="AS273" s="142">
        <f>AQ273/M273</f>
        <v>0.58052985993442929</v>
      </c>
      <c r="AT273" s="75">
        <f t="shared" si="732"/>
        <v>8484384.5396499988</v>
      </c>
      <c r="AU273" s="928">
        <f>AT273/K273</f>
        <v>0.94884312175369867</v>
      </c>
      <c r="AV273" s="929">
        <f>AV207+AV213+AV243</f>
        <v>7700396.9727999987</v>
      </c>
      <c r="AW273" s="143">
        <f>AV273/L273</f>
        <v>0.95616727414252656</v>
      </c>
      <c r="AX273" s="929">
        <f>AX207+AX213+AX243</f>
        <v>783987.56684999994</v>
      </c>
      <c r="AY273" s="930">
        <f>AX273/M273</f>
        <v>0.88245078854785963</v>
      </c>
      <c r="AZ273" s="925">
        <f>AZ207+AZ213+AZ243</f>
        <v>457435.57374000008</v>
      </c>
      <c r="BA273" s="930">
        <f>AZ273/K273</f>
        <v>5.1156874816350659E-2</v>
      </c>
      <c r="BB273" s="925">
        <f>BB207+BB213+BB243</f>
        <v>353002.44908000017</v>
      </c>
      <c r="BC273" s="930">
        <f>BB273/L273</f>
        <v>4.3832725857473318E-2</v>
      </c>
      <c r="BD273" s="925">
        <f>BD207+BD213+BD243</f>
        <v>104433.15532999999</v>
      </c>
      <c r="BE273" s="930">
        <f>BD273/M273</f>
        <v>0.11754921145214027</v>
      </c>
      <c r="BF273" s="929">
        <f t="shared" ref="BF273:BP273" si="735">BF207+BF213+BF243</f>
        <v>8484384.9386899993</v>
      </c>
      <c r="BG273" s="930">
        <f>BF273/AT273</f>
        <v>1.0000000470322861</v>
      </c>
      <c r="BH273" s="929">
        <f t="shared" si="735"/>
        <v>7700397.3718399992</v>
      </c>
      <c r="BI273" s="930">
        <f t="shared" si="705"/>
        <v>1.0000000518207051</v>
      </c>
      <c r="BJ273" s="929">
        <f t="shared" si="735"/>
        <v>783987.56684999994</v>
      </c>
      <c r="BK273" s="930">
        <f t="shared" si="706"/>
        <v>1</v>
      </c>
      <c r="BL273" s="929">
        <f t="shared" si="735"/>
        <v>-0.3990400000484442</v>
      </c>
      <c r="BM273" s="930">
        <f t="shared" si="707"/>
        <v>-4.7032285981807412E-8</v>
      </c>
      <c r="BN273" s="929">
        <f t="shared" si="735"/>
        <v>-0.3990400000475347</v>
      </c>
      <c r="BO273" s="930">
        <f t="shared" si="718"/>
        <v>-5.1820705017813751E-8</v>
      </c>
      <c r="BP273" s="929">
        <f t="shared" si="735"/>
        <v>-9.0949470177292824E-13</v>
      </c>
      <c r="BQ273" s="930">
        <f t="shared" si="708"/>
        <v>-1.1600881700550508E-18</v>
      </c>
      <c r="BR273" s="929">
        <f t="shared" ref="BR273" si="736">BR207+BR213+BR243</f>
        <v>457435.20536999987</v>
      </c>
      <c r="BS273" s="931">
        <f t="shared" si="709"/>
        <v>5.1156833620040032E-2</v>
      </c>
      <c r="BT273" s="929">
        <f t="shared" ref="BT273" si="737">BT207+BT213+BT243</f>
        <v>353002.05003999983</v>
      </c>
      <c r="BU273" s="931">
        <f t="shared" ref="BU273:BU276" si="738">BT273/L273</f>
        <v>4.383267630821102E-2</v>
      </c>
      <c r="BV273" s="929">
        <f t="shared" ref="BV273" si="739">BV207+BV213+BV243</f>
        <v>104433.15533000001</v>
      </c>
      <c r="BW273" s="931">
        <f t="shared" ref="BW273:BW277" si="740">BV273/M273</f>
        <v>0.11754921145214028</v>
      </c>
      <c r="BX273" s="932"/>
      <c r="BY273" s="933" t="e">
        <f>AD273/S273</f>
        <v>#REF!</v>
      </c>
      <c r="BZ273" s="934" t="e">
        <f t="shared" ref="BZ273:CE273" si="741">BZ207+BZ213+BZ243</f>
        <v>#REF!</v>
      </c>
      <c r="CA273" s="934" t="e">
        <f t="shared" si="741"/>
        <v>#REF!</v>
      </c>
      <c r="CB273" s="934" t="e">
        <f t="shared" si="741"/>
        <v>#REF!</v>
      </c>
      <c r="CC273" s="934" t="e">
        <f t="shared" si="741"/>
        <v>#REF!</v>
      </c>
      <c r="CD273" s="934" t="e">
        <f t="shared" si="741"/>
        <v>#REF!</v>
      </c>
      <c r="CE273" s="934" t="e">
        <f t="shared" si="741"/>
        <v>#REF!</v>
      </c>
      <c r="CF273" s="934" t="s">
        <v>417</v>
      </c>
      <c r="CG273" s="935" t="s">
        <v>207</v>
      </c>
      <c r="CH273" s="934">
        <f>CH207+CH213+CH243</f>
        <v>0</v>
      </c>
      <c r="CI273" s="936"/>
      <c r="CJ273" s="934">
        <f>CJ207+CJ213+CJ243</f>
        <v>0</v>
      </c>
      <c r="CK273" s="937"/>
    </row>
    <row r="274" spans="2:108" s="952" customFormat="1" ht="33" hidden="1" customHeight="1">
      <c r="B274" s="1179" t="s">
        <v>420</v>
      </c>
      <c r="C274" s="1180"/>
      <c r="D274" s="939"/>
      <c r="E274" s="940" t="e">
        <f>E208+#REF!</f>
        <v>#REF!</v>
      </c>
      <c r="F274" s="940" t="e">
        <f>F208+#REF!</f>
        <v>#REF!</v>
      </c>
      <c r="G274" s="940" t="e">
        <f>G208+#REF!</f>
        <v>#REF!</v>
      </c>
      <c r="H274" s="940" t="e">
        <f>H208+#REF!</f>
        <v>#REF!</v>
      </c>
      <c r="I274" s="940" t="e">
        <f>I208+#REF!</f>
        <v>#REF!</v>
      </c>
      <c r="J274" s="940" t="e">
        <f>J208+#REF!</f>
        <v>#REF!</v>
      </c>
      <c r="K274" s="941">
        <f t="shared" ref="K274:T274" si="742">K208+K216+K246</f>
        <v>682513.27500000002</v>
      </c>
      <c r="L274" s="941">
        <f t="shared" si="742"/>
        <v>656500</v>
      </c>
      <c r="M274" s="941">
        <f t="shared" si="742"/>
        <v>26013.275000000001</v>
      </c>
      <c r="N274" s="941">
        <f t="shared" si="742"/>
        <v>0</v>
      </c>
      <c r="O274" s="941">
        <f t="shared" si="742"/>
        <v>0</v>
      </c>
      <c r="P274" s="941">
        <f t="shared" si="742"/>
        <v>0</v>
      </c>
      <c r="Q274" s="940">
        <f t="shared" si="742"/>
        <v>682513.27500000002</v>
      </c>
      <c r="R274" s="940">
        <f t="shared" si="742"/>
        <v>656500</v>
      </c>
      <c r="S274" s="940">
        <f t="shared" si="742"/>
        <v>26013.275000000001</v>
      </c>
      <c r="T274" s="941">
        <f t="shared" si="742"/>
        <v>678888.04325999995</v>
      </c>
      <c r="U274" s="942">
        <f t="shared" si="669"/>
        <v>0.99468840845623097</v>
      </c>
      <c r="V274" s="941">
        <f>V208+V216+V246</f>
        <v>656500</v>
      </c>
      <c r="W274" s="942">
        <f t="shared" si="670"/>
        <v>1</v>
      </c>
      <c r="X274" s="941">
        <f>X208+X216+X246</f>
        <v>22388.043260000002</v>
      </c>
      <c r="Y274" s="942">
        <f t="shared" si="671"/>
        <v>0.86063916442662447</v>
      </c>
      <c r="Z274" s="941">
        <f>Z208+Z216+Z246</f>
        <v>3625.2317399999993</v>
      </c>
      <c r="AA274" s="942">
        <f t="shared" si="672"/>
        <v>5.3115915437688729E-3</v>
      </c>
      <c r="AB274" s="941">
        <f>AB208+AB216+AB246</f>
        <v>0</v>
      </c>
      <c r="AC274" s="942">
        <f t="shared" si="673"/>
        <v>0</v>
      </c>
      <c r="AD274" s="941">
        <f>AD208+AD216+AD246</f>
        <v>3625.2317399999993</v>
      </c>
      <c r="AE274" s="941" t="e">
        <f>AE208+#REF!+AE246</f>
        <v>#REF!</v>
      </c>
      <c r="AF274" s="941" t="e">
        <f>AF208+#REF!+AF246</f>
        <v>#REF!</v>
      </c>
      <c r="AG274" s="941" t="e">
        <f>AG208+#REF!+AG246</f>
        <v>#REF!</v>
      </c>
      <c r="AH274" s="941" t="e">
        <f>AH208+#REF!+AH246</f>
        <v>#REF!</v>
      </c>
      <c r="AI274" s="941" t="e">
        <f>AI208+#REF!+AI246</f>
        <v>#REF!</v>
      </c>
      <c r="AJ274" s="941" t="e">
        <f>AJ208+#REF!+AJ246</f>
        <v>#REF!</v>
      </c>
      <c r="AK274" s="941">
        <f t="shared" ref="AK274" si="743">AK208+AK216+AK246</f>
        <v>101557.0132</v>
      </c>
      <c r="AL274" s="941" t="e">
        <f>AL208+#REF!+AL246</f>
        <v>#REF!</v>
      </c>
      <c r="AM274" s="943">
        <f t="shared" si="657"/>
        <v>0.1487985903277852</v>
      </c>
      <c r="AN274" s="941">
        <f t="shared" ref="AN274" si="744">AN208+AN216+AN246</f>
        <v>94425.293600000005</v>
      </c>
      <c r="AO274" s="941" t="e">
        <f>AO208+#REF!+AO246</f>
        <v>#REF!</v>
      </c>
      <c r="AP274" s="600">
        <f t="shared" si="702"/>
        <v>0.14383136877380046</v>
      </c>
      <c r="AQ274" s="941">
        <f t="shared" ref="AQ274" si="745">AQ208+AQ216+AQ246</f>
        <v>7131.7196000000004</v>
      </c>
      <c r="AR274" s="941" t="e">
        <f>AR208+#REF!+AR246</f>
        <v>#DIV/0!</v>
      </c>
      <c r="AS274" s="944">
        <v>0</v>
      </c>
      <c r="AT274" s="941">
        <f>AT208+AT216+AT246</f>
        <v>663631.71959999995</v>
      </c>
      <c r="AU274" s="945">
        <f>AT274/K274</f>
        <v>0.97233525545711907</v>
      </c>
      <c r="AV274" s="941">
        <f>AV208+AV216+AV246</f>
        <v>656500</v>
      </c>
      <c r="AW274" s="946">
        <f>AV274/L274</f>
        <v>1</v>
      </c>
      <c r="AX274" s="941">
        <f>AX208+AX216+AX246</f>
        <v>7131.7196000000004</v>
      </c>
      <c r="AY274" s="946">
        <f>AX274/M274</f>
        <v>0.27415692949080805</v>
      </c>
      <c r="AZ274" s="941">
        <f>AZ208+AZ216+AZ246</f>
        <v>18881.555400000001</v>
      </c>
      <c r="BA274" s="946">
        <f>AZ274/K274</f>
        <v>2.766474454288087E-2</v>
      </c>
      <c r="BB274" s="941">
        <f>BB208+BB216+BB246</f>
        <v>0</v>
      </c>
      <c r="BC274" s="946">
        <f>BB274/L274</f>
        <v>0</v>
      </c>
      <c r="BD274" s="941">
        <f>BD208+BD216+BD246</f>
        <v>18881.555400000001</v>
      </c>
      <c r="BE274" s="946">
        <f>BD274/M274</f>
        <v>0.72584307050919195</v>
      </c>
      <c r="BF274" s="941">
        <f t="shared" ref="BF274:BP274" si="746">BF208+BF216+BF246</f>
        <v>663631.71961000003</v>
      </c>
      <c r="BG274" s="946">
        <f>BF274/AT274</f>
        <v>1.0000000000150686</v>
      </c>
      <c r="BH274" s="941">
        <f t="shared" si="746"/>
        <v>656500</v>
      </c>
      <c r="BI274" s="946">
        <f t="shared" si="705"/>
        <v>1</v>
      </c>
      <c r="BJ274" s="941">
        <f t="shared" si="746"/>
        <v>7131.7196100000001</v>
      </c>
      <c r="BK274" s="946">
        <f t="shared" si="706"/>
        <v>1.0000000014021864</v>
      </c>
      <c r="BL274" s="941">
        <f t="shared" si="746"/>
        <v>-1.0000000656873453E-5</v>
      </c>
      <c r="BM274" s="946">
        <f t="shared" si="707"/>
        <v>-1.5068599588489974E-11</v>
      </c>
      <c r="BN274" s="941">
        <f t="shared" si="746"/>
        <v>0</v>
      </c>
      <c r="BO274" s="946">
        <f t="shared" si="718"/>
        <v>0</v>
      </c>
      <c r="BP274" s="941">
        <f t="shared" si="746"/>
        <v>-1.0000000656873453E-5</v>
      </c>
      <c r="BQ274" s="946">
        <f t="shared" si="708"/>
        <v>-1.402186459612553E-9</v>
      </c>
      <c r="BR274" s="941">
        <f t="shared" ref="BR274" si="747">BR208+BR216+BR246</f>
        <v>18853.248650000001</v>
      </c>
      <c r="BS274" s="944">
        <f t="shared" si="709"/>
        <v>2.7623270258003409E-2</v>
      </c>
      <c r="BT274" s="941">
        <f t="shared" ref="BT274" si="748">BT208+BT216+BT246</f>
        <v>0</v>
      </c>
      <c r="BU274" s="944">
        <f t="shared" si="738"/>
        <v>0</v>
      </c>
      <c r="BV274" s="941">
        <f t="shared" ref="BV274" si="749">BV208+BV216+BV246</f>
        <v>18881.555390000001</v>
      </c>
      <c r="BW274" s="944">
        <f t="shared" si="740"/>
        <v>0.72584307012477289</v>
      </c>
      <c r="BX274" s="947"/>
      <c r="BY274" s="948">
        <f>AD274/S274</f>
        <v>0.13936083557337547</v>
      </c>
      <c r="BZ274" s="949" t="e">
        <f>BZ208+#REF!+BZ246</f>
        <v>#REF!</v>
      </c>
      <c r="CA274" s="949" t="e">
        <f>CA208+#REF!+CA246</f>
        <v>#REF!</v>
      </c>
      <c r="CB274" s="949" t="e">
        <f>CB208+#REF!+CB246</f>
        <v>#REF!</v>
      </c>
      <c r="CC274" s="949" t="e">
        <f>CC208+#REF!+CC246</f>
        <v>#REF!</v>
      </c>
      <c r="CD274" s="949" t="e">
        <f>CD208+#REF!+CD246</f>
        <v>#REF!</v>
      </c>
      <c r="CE274" s="949" t="e">
        <f>CE208+#REF!+CE246</f>
        <v>#REF!</v>
      </c>
      <c r="CF274" s="949" t="s">
        <v>81</v>
      </c>
      <c r="CG274" s="949" t="s">
        <v>81</v>
      </c>
      <c r="CH274" s="949"/>
      <c r="CI274" s="950"/>
      <c r="CJ274" s="949"/>
      <c r="CK274" s="951"/>
      <c r="CS274" s="953"/>
      <c r="CZ274" s="953"/>
    </row>
    <row r="275" spans="2:108" s="970" customFormat="1" ht="45.75" hidden="1" customHeight="1" thickBot="1">
      <c r="B275" s="1164" t="s">
        <v>421</v>
      </c>
      <c r="C275" s="1165"/>
      <c r="D275" s="954"/>
      <c r="E275" s="955" t="e">
        <f t="shared" ref="E275:J275" si="750">E273-E274</f>
        <v>#REF!</v>
      </c>
      <c r="F275" s="955" t="e">
        <f t="shared" si="750"/>
        <v>#REF!</v>
      </c>
      <c r="G275" s="955" t="e">
        <f t="shared" si="750"/>
        <v>#REF!</v>
      </c>
      <c r="H275" s="955" t="e">
        <f t="shared" si="750"/>
        <v>#REF!</v>
      </c>
      <c r="I275" s="955" t="e">
        <f t="shared" si="750"/>
        <v>#REF!</v>
      </c>
      <c r="J275" s="955" t="e">
        <f t="shared" si="750"/>
        <v>#REF!</v>
      </c>
      <c r="K275" s="956">
        <f t="shared" ref="K275:T275" si="751">K209+K215+K245</f>
        <v>8259306.8690600004</v>
      </c>
      <c r="L275" s="956">
        <f t="shared" si="751"/>
        <v>7396899.4218800003</v>
      </c>
      <c r="M275" s="956">
        <f t="shared" si="751"/>
        <v>862407.44718000002</v>
      </c>
      <c r="N275" s="956">
        <f t="shared" si="751"/>
        <v>100154.14708000013</v>
      </c>
      <c r="O275" s="956">
        <f t="shared" si="751"/>
        <v>100154.14708000013</v>
      </c>
      <c r="P275" s="956">
        <f t="shared" si="751"/>
        <v>0</v>
      </c>
      <c r="Q275" s="955">
        <f t="shared" si="751"/>
        <v>8349132.2386300005</v>
      </c>
      <c r="R275" s="955">
        <f t="shared" si="751"/>
        <v>7486724.7914499994</v>
      </c>
      <c r="S275" s="955">
        <f t="shared" si="751"/>
        <v>862407.44718000002</v>
      </c>
      <c r="T275" s="956" t="e">
        <f t="shared" si="751"/>
        <v>#REF!</v>
      </c>
      <c r="U275" s="957" t="e">
        <f t="shared" si="669"/>
        <v>#REF!</v>
      </c>
      <c r="V275" s="956" t="e">
        <f>V209+V215+V245</f>
        <v>#REF!</v>
      </c>
      <c r="W275" s="957" t="e">
        <f t="shared" si="670"/>
        <v>#REF!</v>
      </c>
      <c r="X275" s="956" t="e">
        <f>X209+X215+X245</f>
        <v>#REF!</v>
      </c>
      <c r="Y275" s="957" t="e">
        <f t="shared" si="671"/>
        <v>#REF!</v>
      </c>
      <c r="Z275" s="956" t="e">
        <f>Z209+Z215+Z245</f>
        <v>#REF!</v>
      </c>
      <c r="AA275" s="957" t="e">
        <f t="shared" si="672"/>
        <v>#REF!</v>
      </c>
      <c r="AB275" s="956" t="e">
        <f>AB209+AB215+AB245</f>
        <v>#REF!</v>
      </c>
      <c r="AC275" s="957" t="e">
        <f t="shared" si="673"/>
        <v>#REF!</v>
      </c>
      <c r="AD275" s="956" t="e">
        <f>AD209+AD215+AD245</f>
        <v>#REF!</v>
      </c>
      <c r="AE275" s="956" t="e">
        <f>AE209+#REF!+AE245</f>
        <v>#REF!</v>
      </c>
      <c r="AF275" s="956" t="e">
        <f>AF209+#REF!+AF245</f>
        <v>#REF!</v>
      </c>
      <c r="AG275" s="956" t="e">
        <f>AG209+#REF!+AG245</f>
        <v>#REF!</v>
      </c>
      <c r="AH275" s="956" t="e">
        <f>AH209+#REF!+AH245</f>
        <v>#REF!</v>
      </c>
      <c r="AI275" s="956" t="e">
        <f>AI209+#REF!+AI245</f>
        <v>#REF!</v>
      </c>
      <c r="AJ275" s="956" t="e">
        <f>AJ209+#REF!+AJ245</f>
        <v>#REF!</v>
      </c>
      <c r="AK275" s="956">
        <f t="shared" ref="AK275" si="752">AK209+AK215+AK245</f>
        <v>2455503.3860900002</v>
      </c>
      <c r="AL275" s="956" t="e">
        <f>AL209+#REF!+AL245</f>
        <v>#REF!</v>
      </c>
      <c r="AM275" s="958">
        <f t="shared" si="657"/>
        <v>0.29730138678930856</v>
      </c>
      <c r="AN275" s="956">
        <f>AN209+AN215+AN245</f>
        <v>1946880.34828</v>
      </c>
      <c r="AO275" s="956" t="e">
        <f>AO209+#REF!+AO245</f>
        <v>#REF!</v>
      </c>
      <c r="AP275" s="959">
        <f t="shared" si="702"/>
        <v>0.26320221990867354</v>
      </c>
      <c r="AQ275" s="956">
        <f t="shared" ref="AQ275" si="753">AQ209+AQ215+AQ245</f>
        <v>508623.03781000001</v>
      </c>
      <c r="AR275" s="956" t="e">
        <f>AR209+#REF!+AR245</f>
        <v>#REF!</v>
      </c>
      <c r="AS275" s="960">
        <f>AQ275/M275</f>
        <v>0.58977115686228665</v>
      </c>
      <c r="AT275" s="956">
        <f>AT209+AT215+AT245</f>
        <v>7820752.8200499993</v>
      </c>
      <c r="AU275" s="961">
        <f>AT275/K275</f>
        <v>0.94690183377822434</v>
      </c>
      <c r="AV275" s="956">
        <f>AV209+AV215+AV245</f>
        <v>7043896.9727999987</v>
      </c>
      <c r="AW275" s="961">
        <f>AV275/L275</f>
        <v>0.95227697053229876</v>
      </c>
      <c r="AX275" s="956">
        <f>AX209+AX215+AX245</f>
        <v>776855.84724999999</v>
      </c>
      <c r="AY275" s="962">
        <f>AX275/M275</f>
        <v>0.90079909419874959</v>
      </c>
      <c r="AZ275" s="956">
        <f>AZ209+AZ215+AZ245</f>
        <v>438554.01834000007</v>
      </c>
      <c r="BA275" s="962">
        <f>AZ275/K275</f>
        <v>5.3098162508388835E-2</v>
      </c>
      <c r="BB275" s="956">
        <f>BB209+BB215+BB245</f>
        <v>353002.44908000017</v>
      </c>
      <c r="BC275" s="962">
        <f>BB275/L275</f>
        <v>4.7723029467701059E-2</v>
      </c>
      <c r="BD275" s="956">
        <f>BD209+BD215+BD245</f>
        <v>85551.599929999997</v>
      </c>
      <c r="BE275" s="962">
        <f>BD275/M275</f>
        <v>9.9200905801250377E-2</v>
      </c>
      <c r="BF275" s="956">
        <f t="shared" ref="BF275:BP275" si="754">BF209+BF215+BF245</f>
        <v>7820753.2190800002</v>
      </c>
      <c r="BG275" s="962">
        <f>BF275/AT275</f>
        <v>1.0000000510219424</v>
      </c>
      <c r="BH275" s="956">
        <f t="shared" si="754"/>
        <v>7043897.3718399992</v>
      </c>
      <c r="BI275" s="962">
        <f t="shared" si="705"/>
        <v>1.0000000566504597</v>
      </c>
      <c r="BJ275" s="956">
        <f t="shared" si="754"/>
        <v>776855.84723999992</v>
      </c>
      <c r="BK275" s="962">
        <f t="shared" si="706"/>
        <v>0.99999999998712752</v>
      </c>
      <c r="BL275" s="956">
        <f t="shared" si="754"/>
        <v>-0.39903000004778733</v>
      </c>
      <c r="BM275" s="962">
        <f t="shared" si="707"/>
        <v>-5.1021942417716799E-8</v>
      </c>
      <c r="BN275" s="956">
        <f t="shared" si="754"/>
        <v>-0.3990400000475347</v>
      </c>
      <c r="BO275" s="962">
        <f t="shared" si="718"/>
        <v>-5.66504594812257E-8</v>
      </c>
      <c r="BP275" s="956">
        <f t="shared" si="754"/>
        <v>9.9999997473787516E-6</v>
      </c>
      <c r="BQ275" s="962">
        <f t="shared" si="708"/>
        <v>1.2872400694128588E-11</v>
      </c>
      <c r="BR275" s="956">
        <f t="shared" ref="BR275" si="755">BR209+BR215+BR245</f>
        <v>438553.64997999981</v>
      </c>
      <c r="BS275" s="963">
        <f t="shared" si="709"/>
        <v>5.3098117909004636E-2</v>
      </c>
      <c r="BT275" s="956">
        <f t="shared" ref="BT275" si="756">BT209+BT215+BT245</f>
        <v>353002.05003999983</v>
      </c>
      <c r="BU275" s="963">
        <f t="shared" si="738"/>
        <v>4.7722975520773085E-2</v>
      </c>
      <c r="BV275" s="956">
        <f t="shared" ref="BV275" si="757">BV209+BV215+BV245</f>
        <v>85551.59994</v>
      </c>
      <c r="BW275" s="963">
        <f t="shared" si="740"/>
        <v>9.9200905812845838E-2</v>
      </c>
      <c r="BX275" s="964"/>
      <c r="BY275" s="965" t="e">
        <f>AD275/S275</f>
        <v>#REF!</v>
      </c>
      <c r="BZ275" s="966" t="e">
        <f>BZ209+#REF!+BZ245</f>
        <v>#REF!</v>
      </c>
      <c r="CA275" s="966" t="e">
        <f>CA209+#REF!+CA245</f>
        <v>#REF!</v>
      </c>
      <c r="CB275" s="966" t="e">
        <f>CB209+#REF!+CB245</f>
        <v>#REF!</v>
      </c>
      <c r="CC275" s="966" t="e">
        <f>CC209+#REF!+CC245</f>
        <v>#REF!</v>
      </c>
      <c r="CD275" s="966" t="e">
        <f>CD209+#REF!+CD245</f>
        <v>#REF!</v>
      </c>
      <c r="CE275" s="966" t="e">
        <f>CE209+#REF!+CE245</f>
        <v>#REF!</v>
      </c>
      <c r="CF275" s="966" t="str">
        <f>CF273</f>
        <v>394,634м/643,4пог.м</v>
      </c>
      <c r="CG275" s="967" t="s">
        <v>207</v>
      </c>
      <c r="CH275" s="966"/>
      <c r="CI275" s="968"/>
      <c r="CJ275" s="966"/>
      <c r="CK275" s="969"/>
      <c r="CS275" s="971"/>
    </row>
    <row r="276" spans="2:108" s="987" customFormat="1" ht="28.5" hidden="1" customHeight="1" thickBot="1">
      <c r="B276" s="972" t="s">
        <v>422</v>
      </c>
      <c r="C276" s="973"/>
      <c r="D276" s="974"/>
      <c r="E276" s="975" t="e">
        <f>#REF!+E142+E143</f>
        <v>#REF!</v>
      </c>
      <c r="F276" s="975" t="e">
        <f>#REF!+F142+F143</f>
        <v>#REF!</v>
      </c>
      <c r="G276" s="975" t="e">
        <f>#REF!+G142+G143</f>
        <v>#REF!</v>
      </c>
      <c r="H276" s="975" t="e">
        <f>#REF!+H142+H143</f>
        <v>#REF!</v>
      </c>
      <c r="I276" s="975" t="e">
        <f>#REF!+I142+I143</f>
        <v>#REF!</v>
      </c>
      <c r="J276" s="975" t="e">
        <f>#REF!+J142+J143</f>
        <v>#REF!</v>
      </c>
      <c r="K276" s="976" t="e">
        <f>#REF!+K142+K143</f>
        <v>#REF!</v>
      </c>
      <c r="L276" s="976" t="e">
        <f>#REF!+L142+L143</f>
        <v>#REF!</v>
      </c>
      <c r="M276" s="976" t="e">
        <f>#REF!+M142+M143</f>
        <v>#REF!</v>
      </c>
      <c r="N276" s="976" t="e">
        <f>#REF!+N142+N143</f>
        <v>#REF!</v>
      </c>
      <c r="O276" s="976" t="e">
        <f>#REF!+O142+O143</f>
        <v>#REF!</v>
      </c>
      <c r="P276" s="976" t="e">
        <f>#REF!+P142+P143</f>
        <v>#REF!</v>
      </c>
      <c r="Q276" s="975" t="e">
        <f>#REF!+Q142+Q143</f>
        <v>#REF!</v>
      </c>
      <c r="R276" s="975" t="e">
        <f>#REF!+R142+R143</f>
        <v>#REF!</v>
      </c>
      <c r="S276" s="975" t="e">
        <f>#REF!+S142+S143</f>
        <v>#REF!</v>
      </c>
      <c r="T276" s="976" t="e">
        <f>#REF!+T142+T143</f>
        <v>#REF!</v>
      </c>
      <c r="U276" s="977" t="e">
        <f t="shared" si="669"/>
        <v>#REF!</v>
      </c>
      <c r="V276" s="976" t="e">
        <f>#REF!+V142+V143</f>
        <v>#REF!</v>
      </c>
      <c r="W276" s="977" t="e">
        <f t="shared" si="670"/>
        <v>#REF!</v>
      </c>
      <c r="X276" s="976" t="e">
        <f>#REF!+X142+X143</f>
        <v>#REF!</v>
      </c>
      <c r="Y276" s="977" t="e">
        <f t="shared" si="671"/>
        <v>#REF!</v>
      </c>
      <c r="Z276" s="976" t="e">
        <f>#REF!+Z142+Z143</f>
        <v>#REF!</v>
      </c>
      <c r="AA276" s="977" t="e">
        <f t="shared" si="672"/>
        <v>#REF!</v>
      </c>
      <c r="AB276" s="976" t="e">
        <f>#REF!+AB142+AB143</f>
        <v>#REF!</v>
      </c>
      <c r="AC276" s="977" t="e">
        <f t="shared" si="673"/>
        <v>#REF!</v>
      </c>
      <c r="AD276" s="976" t="e">
        <f>#REF!+AD142+AD143</f>
        <v>#REF!</v>
      </c>
      <c r="AE276" s="976" t="e">
        <f>#REF!+AE142+AE143</f>
        <v>#REF!</v>
      </c>
      <c r="AF276" s="976" t="e">
        <f>#REF!+AF142+AF143</f>
        <v>#REF!</v>
      </c>
      <c r="AG276" s="976" t="e">
        <f>#REF!+AG142+AG143</f>
        <v>#REF!</v>
      </c>
      <c r="AH276" s="976" t="e">
        <f>#REF!+AH142+AH143</f>
        <v>#REF!</v>
      </c>
      <c r="AI276" s="976" t="e">
        <f>#REF!+AI142+AI143</f>
        <v>#REF!</v>
      </c>
      <c r="AJ276" s="976" t="e">
        <f>#REF!+AJ142+AJ143</f>
        <v>#REF!</v>
      </c>
      <c r="AK276" s="976" t="e">
        <f>#REF!+AK142+AK143</f>
        <v>#REF!</v>
      </c>
      <c r="AL276" s="977" t="e">
        <f t="shared" si="666"/>
        <v>#REF!</v>
      </c>
      <c r="AM276" s="978" t="e">
        <f t="shared" si="657"/>
        <v>#REF!</v>
      </c>
      <c r="AN276" s="976" t="e">
        <f>#REF!+AN142+AN143</f>
        <v>#REF!</v>
      </c>
      <c r="AO276" s="977" t="e">
        <f t="shared" si="698"/>
        <v>#REF!</v>
      </c>
      <c r="AP276" s="978">
        <v>0</v>
      </c>
      <c r="AQ276" s="976" t="e">
        <f>#REF!+AQ142+AQ143</f>
        <v>#REF!</v>
      </c>
      <c r="AR276" s="977" t="e">
        <f t="shared" si="679"/>
        <v>#REF!</v>
      </c>
      <c r="AS276" s="979" t="e">
        <f t="shared" ref="AS276" si="758">AQ276/S276</f>
        <v>#REF!</v>
      </c>
      <c r="AT276" s="976" t="e">
        <f>#REF!+AT142+AT143</f>
        <v>#REF!</v>
      </c>
      <c r="AU276" s="980" t="e">
        <f>AT276/K276</f>
        <v>#REF!</v>
      </c>
      <c r="AV276" s="976" t="e">
        <f>#REF!+AV142+AV143</f>
        <v>#REF!</v>
      </c>
      <c r="AW276" s="980" t="e">
        <f>AV276/L276</f>
        <v>#REF!</v>
      </c>
      <c r="AX276" s="976" t="e">
        <f>#REF!+AX142+AX143</f>
        <v>#REF!</v>
      </c>
      <c r="AY276" s="981" t="e">
        <f>AX276/S276</f>
        <v>#REF!</v>
      </c>
      <c r="AZ276" s="976" t="e">
        <f>#REF!+AZ142+AZ143</f>
        <v>#REF!</v>
      </c>
      <c r="BA276" s="981" t="e">
        <f>AZ276/K276</f>
        <v>#REF!</v>
      </c>
      <c r="BB276" s="976" t="e">
        <f>#REF!+BB142+BB143</f>
        <v>#REF!</v>
      </c>
      <c r="BC276" s="981" t="e">
        <f>BB276/L276</f>
        <v>#REF!</v>
      </c>
      <c r="BD276" s="976" t="e">
        <f>#REF!+BD142+BD143</f>
        <v>#REF!</v>
      </c>
      <c r="BE276" s="981" t="e">
        <f>BD276/M276</f>
        <v>#REF!</v>
      </c>
      <c r="BF276" s="982" t="e">
        <f>#REF!+BF142+BF143</f>
        <v>#REF!</v>
      </c>
      <c r="BG276" s="983"/>
      <c r="BH276" s="982" t="e">
        <f>#REF!+BH142+BH143</f>
        <v>#REF!</v>
      </c>
      <c r="BI276" s="983" t="e">
        <f t="shared" si="705"/>
        <v>#REF!</v>
      </c>
      <c r="BJ276" s="982" t="e">
        <f>#REF!+BJ142+BJ143</f>
        <v>#REF!</v>
      </c>
      <c r="BK276" s="983" t="e">
        <f t="shared" si="706"/>
        <v>#REF!</v>
      </c>
      <c r="BL276" s="982" t="e">
        <f>#REF!+BL142+BL143</f>
        <v>#REF!</v>
      </c>
      <c r="BM276" s="983" t="e">
        <f t="shared" si="707"/>
        <v>#REF!</v>
      </c>
      <c r="BN276" s="982" t="e">
        <f>#REF!+BN142+BN143</f>
        <v>#REF!</v>
      </c>
      <c r="BO276" s="983" t="e">
        <f t="shared" si="718"/>
        <v>#REF!</v>
      </c>
      <c r="BP276" s="982" t="e">
        <f>#REF!+BP142+BP143</f>
        <v>#REF!</v>
      </c>
      <c r="BQ276" s="983" t="e">
        <f t="shared" si="708"/>
        <v>#REF!</v>
      </c>
      <c r="BR276" s="982" t="e">
        <f>#REF!+BR142+BR143</f>
        <v>#REF!</v>
      </c>
      <c r="BS276" s="982" t="e">
        <f t="shared" si="709"/>
        <v>#REF!</v>
      </c>
      <c r="BT276" s="982" t="e">
        <f>#REF!+BT142+BT143</f>
        <v>#REF!</v>
      </c>
      <c r="BU276" s="982" t="e">
        <f t="shared" si="738"/>
        <v>#REF!</v>
      </c>
      <c r="BV276" s="982" t="e">
        <f>#REF!+BV142+BV143</f>
        <v>#REF!</v>
      </c>
      <c r="BW276" s="982" t="e">
        <f t="shared" si="740"/>
        <v>#REF!</v>
      </c>
      <c r="BX276" s="984"/>
      <c r="BY276" s="965" t="e">
        <f>AD276/S276</f>
        <v>#REF!</v>
      </c>
      <c r="BZ276" s="966" t="e">
        <f>#REF!+BZ142+BZ143</f>
        <v>#REF!</v>
      </c>
      <c r="CA276" s="966" t="e">
        <f>#REF!+CA142+CA143</f>
        <v>#REF!</v>
      </c>
      <c r="CB276" s="966" t="e">
        <f>#REF!+CB142+CB143</f>
        <v>#REF!</v>
      </c>
      <c r="CC276" s="966" t="e">
        <f>#REF!+CC142+CC143</f>
        <v>#REF!</v>
      </c>
      <c r="CD276" s="966" t="e">
        <f>#REF!+CD142+CD143</f>
        <v>#REF!</v>
      </c>
      <c r="CE276" s="966" t="e">
        <f>#REF!+CE142+CE143</f>
        <v>#REF!</v>
      </c>
      <c r="CF276" s="966" t="e">
        <f>#REF!+CF142+CF143</f>
        <v>#REF!</v>
      </c>
      <c r="CG276" s="985"/>
      <c r="CH276" s="966" t="e">
        <f>#REF!+CH142+CH143</f>
        <v>#REF!</v>
      </c>
      <c r="CI276" s="985"/>
      <c r="CJ276" s="966" t="e">
        <f>#REF!+CJ142+CJ143</f>
        <v>#REF!</v>
      </c>
      <c r="CK276" s="986"/>
    </row>
    <row r="277" spans="2:108" s="1002" customFormat="1" ht="39.75" hidden="1" customHeight="1" thickBot="1">
      <c r="B277" s="1166" t="s">
        <v>423</v>
      </c>
      <c r="C277" s="1167"/>
      <c r="D277" s="988"/>
      <c r="E277" s="989" t="e">
        <f>E210+E213+E249+#REF!</f>
        <v>#REF!</v>
      </c>
      <c r="F277" s="989" t="e">
        <f>F210+F213+F249+#REF!</f>
        <v>#REF!</v>
      </c>
      <c r="G277" s="989" t="e">
        <f>G210+G213+G249+#REF!</f>
        <v>#REF!</v>
      </c>
      <c r="H277" s="989" t="e">
        <f>H210+H213+H249+#REF!</f>
        <v>#REF!</v>
      </c>
      <c r="I277" s="989" t="e">
        <f>I210+I213+I249+#REF!</f>
        <v>#REF!</v>
      </c>
      <c r="J277" s="989" t="e">
        <f>J210+J213+J249+#REF!</f>
        <v>#REF!</v>
      </c>
      <c r="K277" s="990">
        <f>K210+K213+K259-K262-K263</f>
        <v>900792.34273999999</v>
      </c>
      <c r="L277" s="990">
        <f t="shared" ref="L277:AJ277" si="759">L210+L213+L259-L262-L263</f>
        <v>0</v>
      </c>
      <c r="M277" s="990">
        <f t="shared" si="759"/>
        <v>900792.34273999999</v>
      </c>
      <c r="N277" s="990">
        <f t="shared" si="759"/>
        <v>0</v>
      </c>
      <c r="O277" s="990">
        <f t="shared" si="759"/>
        <v>0</v>
      </c>
      <c r="P277" s="990">
        <f t="shared" si="759"/>
        <v>0</v>
      </c>
      <c r="Q277" s="989">
        <f t="shared" si="759"/>
        <v>900792.34273999999</v>
      </c>
      <c r="R277" s="989">
        <f t="shared" si="759"/>
        <v>0</v>
      </c>
      <c r="S277" s="989">
        <f t="shared" si="759"/>
        <v>900792.34273999999</v>
      </c>
      <c r="T277" s="990">
        <f t="shared" si="759"/>
        <v>787306.11300999997</v>
      </c>
      <c r="U277" s="990">
        <f t="shared" si="759"/>
        <v>1.7510502318892982</v>
      </c>
      <c r="V277" s="990">
        <f t="shared" si="759"/>
        <v>28226.94166</v>
      </c>
      <c r="W277" s="990">
        <f t="shared" si="759"/>
        <v>2.9643488950566979</v>
      </c>
      <c r="X277" s="990">
        <f t="shared" si="759"/>
        <v>759079.17134999996</v>
      </c>
      <c r="Y277" s="990">
        <f t="shared" si="759"/>
        <v>1.1451311948193519</v>
      </c>
      <c r="Z277" s="990">
        <f t="shared" si="759"/>
        <v>113486.22973000002</v>
      </c>
      <c r="AA277" s="990">
        <f t="shared" si="759"/>
        <v>0.24894976811070199</v>
      </c>
      <c r="AB277" s="990">
        <f t="shared" si="759"/>
        <v>-28226.94166</v>
      </c>
      <c r="AC277" s="990">
        <f t="shared" si="759"/>
        <v>-1.9643488950566979</v>
      </c>
      <c r="AD277" s="990">
        <f t="shared" si="759"/>
        <v>141713.17139000003</v>
      </c>
      <c r="AE277" s="990" t="e">
        <f t="shared" si="759"/>
        <v>#REF!</v>
      </c>
      <c r="AF277" s="990">
        <f t="shared" si="759"/>
        <v>0</v>
      </c>
      <c r="AG277" s="990" t="e">
        <f t="shared" si="759"/>
        <v>#REF!</v>
      </c>
      <c r="AH277" s="990" t="e">
        <f t="shared" si="759"/>
        <v>#REF!</v>
      </c>
      <c r="AI277" s="990">
        <f t="shared" si="759"/>
        <v>0</v>
      </c>
      <c r="AJ277" s="990" t="e">
        <f t="shared" si="759"/>
        <v>#REF!</v>
      </c>
      <c r="AK277" s="990">
        <f>AK210+AK213+AK259-AK262-AK263</f>
        <v>523224.75740999996</v>
      </c>
      <c r="AL277" s="991">
        <f t="shared" ref="AL277:BD277" si="760">AL210+AL213+AL262+AL263+AL264</f>
        <v>3.9820600011352418</v>
      </c>
      <c r="AM277" s="992">
        <f t="shared" si="657"/>
        <v>0.58084947283018906</v>
      </c>
      <c r="AN277" s="990">
        <f>AN210+AN213+AN259-AN262-AN263</f>
        <v>0</v>
      </c>
      <c r="AO277" s="991" t="e">
        <f t="shared" si="760"/>
        <v>#DIV/0!</v>
      </c>
      <c r="AP277" s="992">
        <v>0</v>
      </c>
      <c r="AQ277" s="990">
        <f>AQ210+AQ213+AQ259-AQ262-AQ263</f>
        <v>523224.75740999996</v>
      </c>
      <c r="AR277" s="991" t="e">
        <f t="shared" si="760"/>
        <v>#REF!</v>
      </c>
      <c r="AS277" s="992">
        <f>AQ277/M277</f>
        <v>0.58084947283018906</v>
      </c>
      <c r="AT277" s="990">
        <f>AT210+AT213+AT259-AT262-AT263</f>
        <v>796359.18741000001</v>
      </c>
      <c r="AU277" s="993">
        <f>AT277/K277</f>
        <v>0.88406522749478678</v>
      </c>
      <c r="AV277" s="990">
        <f t="shared" ref="AV277" si="761">AV210+AV213+AV259-AV262-AV263</f>
        <v>0</v>
      </c>
      <c r="AW277" s="993">
        <v>0</v>
      </c>
      <c r="AX277" s="990">
        <f>AX210+AX213+AX259-AX262-AX263</f>
        <v>796359.18741000001</v>
      </c>
      <c r="AY277" s="994">
        <f>AX277/M277</f>
        <v>0.88406522749478678</v>
      </c>
      <c r="AZ277" s="991">
        <f t="shared" si="760"/>
        <v>105020.98314</v>
      </c>
      <c r="BA277" s="994">
        <f>AZ277/K277</f>
        <v>0.11658734000840935</v>
      </c>
      <c r="BB277" s="991">
        <f t="shared" si="760"/>
        <v>587.82781000000068</v>
      </c>
      <c r="BC277" s="994">
        <v>0</v>
      </c>
      <c r="BD277" s="991">
        <f t="shared" si="760"/>
        <v>104433.15532999999</v>
      </c>
      <c r="BE277" s="994">
        <f>BD277/M277</f>
        <v>0.11593477250521327</v>
      </c>
      <c r="BF277" s="990">
        <f>BF210+BF213+BF259-BF262-BF263</f>
        <v>796359.18741000001</v>
      </c>
      <c r="BG277" s="993">
        <f>BF277/AT277</f>
        <v>1</v>
      </c>
      <c r="BH277" s="991">
        <f>BH104+BH151+BH213+BH262</f>
        <v>0</v>
      </c>
      <c r="BI277" s="993">
        <v>0</v>
      </c>
      <c r="BJ277" s="990">
        <f>BJ210+BJ213+BJ259-BJ262-BJ263</f>
        <v>796359.18741000001</v>
      </c>
      <c r="BK277" s="993">
        <f t="shared" si="706"/>
        <v>1</v>
      </c>
      <c r="BL277" s="990">
        <f>BL210+BL213+BL259-BL262-BL263</f>
        <v>-9.0949470177292824E-13</v>
      </c>
      <c r="BM277" s="993">
        <f t="shared" si="707"/>
        <v>-1.1420659372699385E-18</v>
      </c>
      <c r="BN277" s="991">
        <f>BN104+BN151+BN213+BN262</f>
        <v>0</v>
      </c>
      <c r="BO277" s="993">
        <v>0</v>
      </c>
      <c r="BP277" s="990">
        <f>BP210+BP213+BP259-BP262-BP263</f>
        <v>-9.0949470177292824E-13</v>
      </c>
      <c r="BQ277" s="993">
        <f t="shared" si="708"/>
        <v>-1.1420659372699385E-18</v>
      </c>
      <c r="BR277" s="990">
        <f>BR210+BR213+BR259-BR262-BR263</f>
        <v>104433.15533000001</v>
      </c>
      <c r="BS277" s="995">
        <f t="shared" si="709"/>
        <v>0.11593477250521328</v>
      </c>
      <c r="BT277" s="991">
        <f>BT104+BT151+BT213+BT262</f>
        <v>0</v>
      </c>
      <c r="BU277" s="995">
        <v>0</v>
      </c>
      <c r="BV277" s="990">
        <f>BV210+BV213+BV259-BV262-BV263</f>
        <v>104433.15533000001</v>
      </c>
      <c r="BW277" s="995">
        <f t="shared" si="740"/>
        <v>0.11593477250521328</v>
      </c>
      <c r="BX277" s="996"/>
      <c r="BY277" s="997">
        <f>AD277/S277</f>
        <v>0.15732057730302376</v>
      </c>
      <c r="BZ277" s="998" t="e">
        <f t="shared" ref="BZ277:CE277" si="762">BZ104+BZ151+BZ213+BZ262</f>
        <v>#REF!</v>
      </c>
      <c r="CA277" s="998" t="e">
        <f t="shared" si="762"/>
        <v>#REF!</v>
      </c>
      <c r="CB277" s="998" t="e">
        <f t="shared" si="762"/>
        <v>#REF!</v>
      </c>
      <c r="CC277" s="998" t="e">
        <f t="shared" si="762"/>
        <v>#REF!</v>
      </c>
      <c r="CD277" s="998" t="e">
        <f t="shared" si="762"/>
        <v>#REF!</v>
      </c>
      <c r="CE277" s="998" t="e">
        <f t="shared" si="762"/>
        <v>#REF!</v>
      </c>
      <c r="CF277" s="998" t="s">
        <v>424</v>
      </c>
      <c r="CG277" s="999" t="s">
        <v>81</v>
      </c>
      <c r="CH277" s="998">
        <f>CH104+CH151+CH213+CH262</f>
        <v>0</v>
      </c>
      <c r="CI277" s="1000"/>
      <c r="CJ277" s="998">
        <f>CJ104+CJ151+CJ213+CJ262</f>
        <v>0</v>
      </c>
      <c r="CK277" s="1001"/>
      <c r="CR277" s="1003"/>
    </row>
    <row r="278" spans="2:108" s="15" customFormat="1" ht="17.25" customHeight="1">
      <c r="B278" s="1004"/>
      <c r="C278" s="1005"/>
      <c r="D278" s="1006"/>
      <c r="E278" s="1007"/>
      <c r="F278" s="1007"/>
      <c r="G278" s="1007"/>
      <c r="H278" s="1007"/>
      <c r="I278" s="1007"/>
      <c r="J278" s="1007"/>
      <c r="K278" s="1007"/>
      <c r="L278" s="1007"/>
      <c r="M278" s="1007"/>
      <c r="N278" s="1007"/>
      <c r="O278" s="1007"/>
      <c r="P278" s="1007"/>
      <c r="Q278" s="1007"/>
      <c r="R278" s="1007"/>
      <c r="S278" s="1007"/>
      <c r="T278" s="1007"/>
      <c r="U278" s="1008"/>
      <c r="V278" s="1007"/>
      <c r="W278" s="1009"/>
      <c r="X278" s="1007"/>
      <c r="Y278" s="1010"/>
      <c r="Z278" s="1007"/>
      <c r="AA278" s="1008"/>
      <c r="AB278" s="1007"/>
      <c r="AC278" s="1009"/>
      <c r="AD278" s="1007"/>
      <c r="AE278" s="1007"/>
      <c r="AF278" s="1007"/>
      <c r="AG278" s="1007"/>
      <c r="AH278" s="1007"/>
      <c r="AI278" s="1007"/>
      <c r="AJ278" s="1007"/>
      <c r="AK278" s="1007"/>
      <c r="AL278" s="1011" t="e">
        <f>AK278/AH278</f>
        <v>#DIV/0!</v>
      </c>
      <c r="AM278" s="1012"/>
      <c r="AN278" s="1007"/>
      <c r="AO278" s="1012"/>
      <c r="AP278" s="1012"/>
      <c r="AQ278" s="1007"/>
      <c r="AR278" s="1013"/>
      <c r="AS278" s="1013"/>
      <c r="AT278" s="1007"/>
      <c r="AU278" s="1012"/>
      <c r="AV278" s="1007"/>
      <c r="AW278" s="1012"/>
      <c r="AX278" s="1007"/>
      <c r="AY278" s="1014"/>
      <c r="AZ278" s="1007"/>
      <c r="BA278" s="1007"/>
      <c r="BB278" s="1007"/>
      <c r="BC278" s="1007"/>
      <c r="BD278" s="1007"/>
      <c r="BE278" s="1007"/>
      <c r="BF278" s="1007"/>
      <c r="BG278" s="1007"/>
      <c r="BH278" s="1007"/>
      <c r="BI278" s="1007"/>
      <c r="BJ278" s="1007"/>
      <c r="BK278" s="1007"/>
      <c r="BL278" s="1007"/>
      <c r="BM278" s="1007"/>
      <c r="BN278" s="1007"/>
      <c r="BO278" s="1007"/>
      <c r="BP278" s="1007"/>
      <c r="BQ278" s="1007"/>
      <c r="BR278" s="1007"/>
      <c r="BS278" s="1007"/>
      <c r="BT278" s="1007"/>
      <c r="BU278" s="1007"/>
      <c r="BV278" s="1007"/>
      <c r="BW278" s="1007"/>
      <c r="BX278" s="1007"/>
      <c r="BY278" s="1010"/>
      <c r="BZ278" s="1007"/>
      <c r="CA278" s="1008"/>
      <c r="CB278" s="1007"/>
      <c r="CC278" s="1009"/>
      <c r="CD278" s="1007"/>
      <c r="CE278" s="1010"/>
      <c r="CF278" s="1007"/>
      <c r="CH278" s="1007"/>
      <c r="CJ278" s="1007"/>
    </row>
    <row r="279" spans="2:108" ht="18.75" hidden="1" customHeight="1">
      <c r="C279" s="1015" t="s">
        <v>425</v>
      </c>
      <c r="D279" s="1016"/>
      <c r="E279" s="1017"/>
      <c r="F279" s="1018"/>
      <c r="G279" s="1018" t="e">
        <f>G271-G210-G213-G249-G266-#REF!</f>
        <v>#REF!</v>
      </c>
      <c r="H279" s="1017"/>
      <c r="I279" s="1018"/>
      <c r="J279" s="1018" t="e">
        <f>J271-J210-J213-J249-J266-#REF!</f>
        <v>#REF!</v>
      </c>
      <c r="K279" s="1017">
        <f>K271-K273</f>
        <v>140483.63872000016</v>
      </c>
      <c r="L279" s="1017">
        <f t="shared" ref="L279:AT279" si="763">L271-L273</f>
        <v>105412.36233000085</v>
      </c>
      <c r="M279" s="1017">
        <f t="shared" si="763"/>
        <v>35071.276390000014</v>
      </c>
      <c r="N279" s="1017">
        <f t="shared" si="763"/>
        <v>1310</v>
      </c>
      <c r="O279" s="1017">
        <f t="shared" si="763"/>
        <v>1310</v>
      </c>
      <c r="P279" s="1017">
        <f t="shared" si="763"/>
        <v>0</v>
      </c>
      <c r="Q279" s="1017">
        <f t="shared" si="763"/>
        <v>141793.63872000016</v>
      </c>
      <c r="R279" s="1017">
        <f t="shared" si="763"/>
        <v>106722.36232999992</v>
      </c>
      <c r="S279" s="1017">
        <f t="shared" si="763"/>
        <v>35071.276390000014</v>
      </c>
      <c r="T279" s="1017" t="e">
        <f t="shared" si="763"/>
        <v>#REF!</v>
      </c>
      <c r="U279" s="1017" t="e">
        <f t="shared" si="763"/>
        <v>#REF!</v>
      </c>
      <c r="V279" s="1017" t="e">
        <f t="shared" si="763"/>
        <v>#REF!</v>
      </c>
      <c r="W279" s="1017" t="e">
        <f t="shared" si="763"/>
        <v>#REF!</v>
      </c>
      <c r="X279" s="1017" t="e">
        <f t="shared" si="763"/>
        <v>#REF!</v>
      </c>
      <c r="Y279" s="1017" t="e">
        <f t="shared" si="763"/>
        <v>#REF!</v>
      </c>
      <c r="Z279" s="1017" t="e">
        <f t="shared" si="763"/>
        <v>#REF!</v>
      </c>
      <c r="AA279" s="1017" t="e">
        <f t="shared" si="763"/>
        <v>#REF!</v>
      </c>
      <c r="AB279" s="1017" t="e">
        <f t="shared" si="763"/>
        <v>#REF!</v>
      </c>
      <c r="AC279" s="1017" t="e">
        <f t="shared" si="763"/>
        <v>#REF!</v>
      </c>
      <c r="AD279" s="1017" t="e">
        <f t="shared" si="763"/>
        <v>#REF!</v>
      </c>
      <c r="AE279" s="1017" t="e">
        <f t="shared" si="763"/>
        <v>#REF!</v>
      </c>
      <c r="AF279" s="1017" t="e">
        <f t="shared" si="763"/>
        <v>#REF!</v>
      </c>
      <c r="AG279" s="1017" t="e">
        <f t="shared" si="763"/>
        <v>#REF!</v>
      </c>
      <c r="AH279" s="1017" t="e">
        <f t="shared" si="763"/>
        <v>#REF!</v>
      </c>
      <c r="AI279" s="1017" t="e">
        <f t="shared" si="763"/>
        <v>#REF!</v>
      </c>
      <c r="AJ279" s="1017" t="e">
        <f t="shared" si="763"/>
        <v>#REF!</v>
      </c>
      <c r="AK279" s="1017">
        <f t="shared" si="763"/>
        <v>115493.9333899999</v>
      </c>
      <c r="AL279" s="1017" t="e">
        <f t="shared" si="763"/>
        <v>#REF!</v>
      </c>
      <c r="AM279" s="1017">
        <f t="shared" si="763"/>
        <v>8.2930862386607074E-3</v>
      </c>
      <c r="AN279" s="1017">
        <f t="shared" si="763"/>
        <v>92599.946039999835</v>
      </c>
      <c r="AO279" s="1017" t="e">
        <f t="shared" si="763"/>
        <v>#REF!</v>
      </c>
      <c r="AP279" s="1017">
        <f t="shared" si="763"/>
        <v>8.074820083092682E-3</v>
      </c>
      <c r="AQ279" s="1017">
        <f t="shared" si="763"/>
        <v>22893.987349999952</v>
      </c>
      <c r="AR279" s="1017" t="e">
        <f t="shared" si="763"/>
        <v>#REF!</v>
      </c>
      <c r="AS279" s="1017">
        <f t="shared" si="763"/>
        <v>2.744002312435323E-3</v>
      </c>
      <c r="AT279" s="1017">
        <f t="shared" si="763"/>
        <v>135132.16839000024</v>
      </c>
      <c r="AU279" s="1019"/>
      <c r="AV279" s="1017">
        <f t="shared" ref="AV279" si="764">AV271-AV273</f>
        <v>101534.25703999959</v>
      </c>
      <c r="AW279" s="1019"/>
      <c r="AX279" s="1017">
        <f t="shared" ref="AX279" si="765">AX271-AX273</f>
        <v>33597.911350000068</v>
      </c>
      <c r="AY279" s="1020">
        <f>AX279/M279</f>
        <v>0.95798940923575704</v>
      </c>
      <c r="AZ279" s="1018"/>
      <c r="BA279" s="1018"/>
      <c r="BB279" s="1018"/>
      <c r="BC279" s="1018"/>
      <c r="BD279" s="1018"/>
      <c r="BE279" s="1018"/>
      <c r="BF279" s="1021"/>
      <c r="BG279" s="1021"/>
      <c r="BH279" s="1022"/>
      <c r="BI279" s="1022"/>
      <c r="BJ279" s="1022" t="e">
        <f>BJ271-BJ210-BJ213-BJ249-BJ266-#REF!</f>
        <v>#REF!</v>
      </c>
      <c r="BK279" s="1022"/>
      <c r="BL279" s="1021"/>
      <c r="BM279" s="1021"/>
      <c r="BN279" s="1022"/>
      <c r="BO279" s="1022"/>
      <c r="BP279" s="1022"/>
      <c r="BQ279" s="1022"/>
      <c r="BR279" s="1021"/>
      <c r="BS279" s="1021"/>
      <c r="BT279" s="1022"/>
      <c r="BU279" s="1022"/>
      <c r="BV279" s="1022"/>
      <c r="BW279" s="1022"/>
      <c r="BX279" s="1021"/>
      <c r="BY279" s="1023"/>
      <c r="BZ279" s="1017"/>
      <c r="CA279" s="1024"/>
      <c r="CB279" s="1018"/>
      <c r="CC279" s="1025"/>
      <c r="CD279" s="1018" t="e">
        <f>CD271-CD210-CD213-CD249-CD266-#REF!</f>
        <v>#REF!</v>
      </c>
      <c r="CE279" s="1023"/>
      <c r="CF279" s="1017"/>
      <c r="CH279" s="1017"/>
      <c r="CJ279" s="1017"/>
    </row>
    <row r="280" spans="2:108" s="269" customFormat="1" ht="18.75" hidden="1" customHeight="1">
      <c r="B280" s="1026"/>
      <c r="C280" s="1027"/>
      <c r="D280" s="1028"/>
      <c r="E280" s="1029"/>
      <c r="F280" s="1030"/>
      <c r="G280" s="1030"/>
      <c r="H280" s="1029"/>
      <c r="I280" s="1030"/>
      <c r="J280" s="1030"/>
      <c r="K280" s="1029">
        <f>K279-K259-K266</f>
        <v>1.6007106751203537E-10</v>
      </c>
      <c r="L280" s="1029">
        <f t="shared" ref="L280:AX280" si="766">L279-L259-L266</f>
        <v>8.440110832452774E-10</v>
      </c>
      <c r="M280" s="1029">
        <f t="shared" si="766"/>
        <v>1.4551915228366852E-11</v>
      </c>
      <c r="N280" s="1029">
        <f t="shared" si="766"/>
        <v>0</v>
      </c>
      <c r="O280" s="1029">
        <f t="shared" si="766"/>
        <v>0</v>
      </c>
      <c r="P280" s="1029">
        <f t="shared" si="766"/>
        <v>0</v>
      </c>
      <c r="Q280" s="1029">
        <f t="shared" si="766"/>
        <v>1.6007106751203537E-10</v>
      </c>
      <c r="R280" s="1029">
        <f t="shared" si="766"/>
        <v>0</v>
      </c>
      <c r="S280" s="1029">
        <f t="shared" si="766"/>
        <v>1.4551915228366852E-11</v>
      </c>
      <c r="T280" s="1029" t="e">
        <f t="shared" si="766"/>
        <v>#REF!</v>
      </c>
      <c r="U280" s="1029" t="e">
        <f t="shared" si="766"/>
        <v>#REF!</v>
      </c>
      <c r="V280" s="1029" t="e">
        <f t="shared" si="766"/>
        <v>#REF!</v>
      </c>
      <c r="W280" s="1029" t="e">
        <f t="shared" si="766"/>
        <v>#REF!</v>
      </c>
      <c r="X280" s="1029" t="e">
        <f t="shared" si="766"/>
        <v>#REF!</v>
      </c>
      <c r="Y280" s="1029" t="e">
        <f t="shared" si="766"/>
        <v>#REF!</v>
      </c>
      <c r="Z280" s="1029" t="e">
        <f t="shared" si="766"/>
        <v>#REF!</v>
      </c>
      <c r="AA280" s="1029" t="e">
        <f t="shared" si="766"/>
        <v>#REF!</v>
      </c>
      <c r="AB280" s="1029" t="e">
        <f t="shared" si="766"/>
        <v>#REF!</v>
      </c>
      <c r="AC280" s="1029" t="e">
        <f t="shared" si="766"/>
        <v>#REF!</v>
      </c>
      <c r="AD280" s="1029" t="e">
        <f t="shared" si="766"/>
        <v>#REF!</v>
      </c>
      <c r="AE280" s="1029" t="e">
        <f t="shared" si="766"/>
        <v>#REF!</v>
      </c>
      <c r="AF280" s="1029" t="e">
        <f t="shared" si="766"/>
        <v>#REF!</v>
      </c>
      <c r="AG280" s="1029" t="e">
        <f t="shared" si="766"/>
        <v>#REF!</v>
      </c>
      <c r="AH280" s="1029" t="e">
        <f t="shared" si="766"/>
        <v>#REF!</v>
      </c>
      <c r="AI280" s="1029" t="e">
        <f t="shared" si="766"/>
        <v>#REF!</v>
      </c>
      <c r="AJ280" s="1029" t="e">
        <f t="shared" si="766"/>
        <v>#REF!</v>
      </c>
      <c r="AK280" s="1029">
        <f t="shared" si="766"/>
        <v>0</v>
      </c>
      <c r="AL280" s="1029" t="e">
        <f t="shared" si="766"/>
        <v>#REF!</v>
      </c>
      <c r="AM280" s="1029">
        <f t="shared" si="766"/>
        <v>-1.3989293846770496</v>
      </c>
      <c r="AN280" s="1029">
        <f t="shared" si="766"/>
        <v>-1.6007106751203537E-10</v>
      </c>
      <c r="AO280" s="1029" t="e">
        <f t="shared" si="766"/>
        <v>#REF!</v>
      </c>
      <c r="AP280" s="1029">
        <f t="shared" si="766"/>
        <v>-0.95761221912467653</v>
      </c>
      <c r="AQ280" s="1029">
        <f t="shared" si="766"/>
        <v>-4.8203219193965197E-11</v>
      </c>
      <c r="AR280" s="1029" t="e">
        <f t="shared" si="766"/>
        <v>#REF!</v>
      </c>
      <c r="AS280" s="1029">
        <f t="shared" si="766"/>
        <v>-1.4137515990352552</v>
      </c>
      <c r="AT280" s="1029">
        <f t="shared" si="766"/>
        <v>2.4738255888223648E-10</v>
      </c>
      <c r="AU280" s="1031"/>
      <c r="AV280" s="1029">
        <f t="shared" si="766"/>
        <v>-4.0745362639427185E-10</v>
      </c>
      <c r="AW280" s="1031"/>
      <c r="AX280" s="1029">
        <f t="shared" si="766"/>
        <v>6.8212102632969618E-11</v>
      </c>
      <c r="AY280" s="1032"/>
      <c r="AZ280" s="1030"/>
      <c r="BA280" s="1030"/>
      <c r="BB280" s="1030"/>
      <c r="BC280" s="1030"/>
      <c r="BD280" s="1030"/>
      <c r="BE280" s="1030"/>
      <c r="BF280" s="1029"/>
      <c r="BG280" s="1029"/>
      <c r="BH280" s="1030"/>
      <c r="BI280" s="1030"/>
      <c r="BJ280" s="1030"/>
      <c r="BK280" s="1030"/>
      <c r="BL280" s="1029"/>
      <c r="BM280" s="1029"/>
      <c r="BN280" s="1030"/>
      <c r="BO280" s="1030"/>
      <c r="BP280" s="1030"/>
      <c r="BQ280" s="1030"/>
      <c r="BR280" s="1029"/>
      <c r="BS280" s="1029"/>
      <c r="BT280" s="1030"/>
      <c r="BU280" s="1030"/>
      <c r="BV280" s="1030"/>
      <c r="BW280" s="1030"/>
      <c r="BX280" s="1029"/>
      <c r="BY280" s="1033"/>
      <c r="BZ280" s="1029"/>
      <c r="CA280" s="1034"/>
      <c r="CB280" s="1030"/>
      <c r="CC280" s="1035"/>
      <c r="CD280" s="1030"/>
      <c r="CE280" s="1033"/>
      <c r="CF280" s="1029"/>
      <c r="CH280" s="1029"/>
      <c r="CJ280" s="1029"/>
    </row>
    <row r="281" spans="2:108" ht="28.5" hidden="1" customHeight="1">
      <c r="B281" s="1036"/>
      <c r="C281" s="1037"/>
      <c r="X281" s="1168"/>
      <c r="Y281" s="1168"/>
      <c r="Z281" s="1168"/>
      <c r="AA281" s="1168"/>
      <c r="AT281" s="1038"/>
      <c r="AV281" s="1039"/>
      <c r="AX281" s="1039"/>
      <c r="BL281" s="1168" t="s">
        <v>426</v>
      </c>
      <c r="BM281" s="1168"/>
      <c r="BN281" s="1168"/>
      <c r="BO281" s="1168"/>
      <c r="BP281" s="1168"/>
      <c r="BQ281" s="1168"/>
      <c r="BR281" s="1168"/>
      <c r="BS281" s="1168"/>
      <c r="BT281" s="1168"/>
      <c r="BU281" s="1168"/>
      <c r="BV281" s="1168"/>
      <c r="BW281" s="1168"/>
      <c r="BX281" s="1168"/>
      <c r="CF281" s="1168"/>
      <c r="CG281" s="1168"/>
      <c r="CH281" s="1168"/>
      <c r="CI281" s="1168"/>
    </row>
    <row r="282" spans="2:108" ht="15.75" customHeight="1">
      <c r="B282" s="1169"/>
      <c r="C282" s="1169"/>
      <c r="AT282" s="1156"/>
      <c r="AU282" s="1156"/>
    </row>
    <row r="283" spans="2:108" ht="51.75" hidden="1" customHeight="1" thickBot="1">
      <c r="B283" s="1040" t="s">
        <v>427</v>
      </c>
      <c r="C283" s="1041" t="s">
        <v>428</v>
      </c>
      <c r="D283" s="1041" t="s">
        <v>429</v>
      </c>
      <c r="E283" s="1041" t="s">
        <v>430</v>
      </c>
      <c r="F283" s="1041" t="s">
        <v>431</v>
      </c>
      <c r="G283" s="1041" t="s">
        <v>432</v>
      </c>
      <c r="H283" s="1041" t="s">
        <v>433</v>
      </c>
      <c r="I283" s="1041" t="s">
        <v>434</v>
      </c>
      <c r="J283" s="1042" t="s">
        <v>435</v>
      </c>
      <c r="K283" s="1043" t="s">
        <v>436</v>
      </c>
      <c r="L283" s="1044"/>
      <c r="M283" s="1044"/>
      <c r="N283" s="1044"/>
      <c r="O283" s="1044"/>
      <c r="P283" s="1044"/>
      <c r="Q283" s="1044"/>
      <c r="R283" s="1044"/>
      <c r="S283" s="1044"/>
      <c r="T283" s="1045"/>
      <c r="U283" s="1044"/>
      <c r="V283" s="1046"/>
      <c r="W283" s="1044"/>
      <c r="X283" s="1045"/>
      <c r="Y283" s="1044"/>
      <c r="Z283" s="1045"/>
      <c r="AA283" s="1044"/>
      <c r="AB283" s="1046"/>
      <c r="AC283" s="1044"/>
      <c r="AD283" s="1044"/>
      <c r="AE283" s="1044"/>
      <c r="AF283" s="1044"/>
      <c r="AG283" s="1044"/>
      <c r="AH283" s="1044"/>
      <c r="AI283" s="1044"/>
      <c r="AJ283" s="1046"/>
      <c r="AK283" s="1047"/>
      <c r="AL283" s="1047"/>
      <c r="AM283" s="1048"/>
      <c r="AN283" s="1047"/>
      <c r="AO283" s="1047"/>
      <c r="AP283" s="1046"/>
      <c r="AQ283" s="1049"/>
      <c r="AR283" s="1049"/>
      <c r="AS283" s="1050"/>
      <c r="AT283" s="1158"/>
      <c r="AU283" s="1156"/>
      <c r="AV283" s="1051"/>
      <c r="AW283" s="1052"/>
      <c r="AX283" s="1051"/>
      <c r="AY283" s="1052"/>
      <c r="AZ283" s="1052"/>
      <c r="BA283" s="1052"/>
      <c r="BB283" s="1052"/>
      <c r="BC283" s="1052"/>
      <c r="BD283" s="1052"/>
      <c r="BE283" s="1052"/>
      <c r="BF283" s="1052"/>
      <c r="BG283" s="1052"/>
      <c r="BH283" s="1052"/>
      <c r="BI283" s="1052"/>
      <c r="BJ283" s="1051"/>
      <c r="BK283" s="1051"/>
      <c r="BL283" s="1052"/>
      <c r="BM283" s="1052"/>
      <c r="BN283" s="1052"/>
      <c r="BO283" s="1052"/>
      <c r="BP283" s="1052"/>
      <c r="BQ283" s="1052"/>
      <c r="BR283" s="1052"/>
      <c r="BS283" s="1052"/>
      <c r="BT283" s="1052"/>
      <c r="BU283" s="1052"/>
      <c r="BV283" s="1052"/>
      <c r="BW283" s="1052"/>
      <c r="BX283" s="1052"/>
      <c r="BY283" s="1052"/>
      <c r="BZ283" s="1052"/>
      <c r="CA283" s="1052"/>
      <c r="CB283" s="1052"/>
      <c r="CC283" s="1052"/>
      <c r="CD283" s="1052"/>
      <c r="CE283" s="1052"/>
      <c r="CF283" s="1052"/>
      <c r="CG283" s="1052"/>
      <c r="CH283" s="1052"/>
      <c r="CI283" s="1052"/>
      <c r="CJ283" s="1052"/>
      <c r="CK283" s="1052"/>
      <c r="CL283" s="1052"/>
      <c r="CM283" s="1052"/>
      <c r="CN283" s="1052"/>
      <c r="CO283" s="1052"/>
      <c r="CP283" s="1052"/>
      <c r="CQ283" s="1052"/>
      <c r="CR283" s="1052"/>
    </row>
    <row r="284" spans="2:108" ht="32.25" hidden="1" customHeight="1" thickBot="1">
      <c r="B284" s="1053">
        <v>1085862.26859</v>
      </c>
      <c r="C284" s="1054">
        <v>1020517.47398</v>
      </c>
      <c r="D284" s="1055">
        <v>499584.2</v>
      </c>
      <c r="E284" s="1055">
        <v>499584.2</v>
      </c>
      <c r="F284" s="1055">
        <v>499584.2</v>
      </c>
      <c r="G284" s="1055">
        <v>499584.2</v>
      </c>
      <c r="H284" s="1055">
        <v>499584.2</v>
      </c>
      <c r="I284" s="1055">
        <v>499584.2</v>
      </c>
      <c r="J284" s="1056">
        <v>499584.2</v>
      </c>
      <c r="K284" s="1057">
        <f>C284/B284</f>
        <v>0.93982220719866183</v>
      </c>
      <c r="L284" s="1058"/>
      <c r="M284" s="1058"/>
      <c r="N284" s="1058"/>
      <c r="O284" s="1058"/>
      <c r="P284" s="1058"/>
      <c r="Q284" s="1058"/>
      <c r="R284" s="1058"/>
      <c r="S284" s="1058"/>
      <c r="T284" s="1058"/>
      <c r="U284" s="1058"/>
      <c r="V284" s="1058"/>
      <c r="W284" s="1058"/>
      <c r="X284" s="1058"/>
      <c r="Y284" s="1058"/>
      <c r="Z284" s="1058"/>
      <c r="AA284" s="1058"/>
      <c r="AB284" s="1058"/>
      <c r="AC284" s="1058"/>
      <c r="AD284" s="1058"/>
      <c r="AE284" s="1058"/>
      <c r="AF284" s="1058"/>
      <c r="AG284" s="1058"/>
      <c r="AH284" s="1058"/>
      <c r="AI284" s="1058"/>
      <c r="AJ284" s="1058"/>
      <c r="AK284" s="1059"/>
      <c r="AL284" s="1059"/>
      <c r="AM284" s="1060"/>
      <c r="AN284" s="1059"/>
      <c r="AO284" s="1059"/>
      <c r="AP284" s="1059"/>
      <c r="AQ284" s="1059"/>
      <c r="AR284" s="1059"/>
      <c r="AS284" s="1061"/>
      <c r="AT284" s="1159"/>
      <c r="AU284" s="1157"/>
      <c r="AV284" s="1062"/>
      <c r="AW284" s="1062"/>
      <c r="AX284" s="1062"/>
      <c r="AY284" s="1062"/>
      <c r="AZ284" s="1062"/>
      <c r="BA284" s="1062"/>
      <c r="BB284" s="1062"/>
      <c r="BC284" s="1062"/>
      <c r="BD284" s="1062"/>
      <c r="BE284" s="1062"/>
      <c r="BF284" s="1062"/>
      <c r="BG284" s="1062"/>
      <c r="BH284" s="1062"/>
      <c r="BI284" s="1062"/>
      <c r="BJ284" s="1063"/>
      <c r="BK284" s="1063"/>
      <c r="BL284" s="1062"/>
      <c r="BM284" s="1062"/>
      <c r="BN284" s="1062"/>
      <c r="BO284" s="1062"/>
      <c r="BP284" s="1062"/>
      <c r="BQ284" s="1062"/>
      <c r="BR284" s="1062"/>
      <c r="BS284" s="1062"/>
      <c r="BT284" s="1062"/>
      <c r="BU284" s="1062"/>
      <c r="BV284" s="1062"/>
      <c r="BW284" s="1062"/>
      <c r="BX284" s="1062"/>
      <c r="BY284" s="1062"/>
      <c r="BZ284" s="1062"/>
      <c r="CA284" s="1062"/>
      <c r="CB284" s="1062"/>
      <c r="CC284" s="1062"/>
      <c r="CD284" s="1062"/>
      <c r="CE284" s="1062"/>
      <c r="CF284" s="1062"/>
      <c r="CG284" s="1062"/>
      <c r="CH284" s="1062"/>
      <c r="CI284" s="1062"/>
      <c r="CJ284" s="1062"/>
      <c r="CK284" s="1062"/>
      <c r="CL284" s="1062"/>
      <c r="CM284" s="1062"/>
      <c r="CN284" s="1062"/>
      <c r="CO284" s="1062"/>
      <c r="CP284" s="1062"/>
      <c r="CQ284" s="1062"/>
      <c r="CR284" s="1062"/>
    </row>
    <row r="285" spans="2:108" ht="18.75" hidden="1" customHeight="1">
      <c r="B285" s="3"/>
      <c r="C285" s="1064"/>
      <c r="D285" s="1065"/>
      <c r="E285" s="1066"/>
      <c r="F285" s="1066"/>
      <c r="G285" s="1067"/>
      <c r="H285" s="1068"/>
      <c r="I285" s="1066"/>
      <c r="J285" s="1066"/>
      <c r="K285" s="1069"/>
      <c r="L285" s="1070"/>
      <c r="M285" s="1070"/>
      <c r="N285" s="1070"/>
      <c r="O285" s="1070"/>
      <c r="P285" s="1070"/>
      <c r="Q285" s="1070"/>
      <c r="R285" s="1070"/>
      <c r="S285" s="1070"/>
      <c r="T285" s="1070"/>
      <c r="U285" s="1070"/>
      <c r="V285" s="1070"/>
      <c r="W285" s="1070"/>
      <c r="X285" s="1070"/>
      <c r="Y285" s="1070"/>
      <c r="Z285" s="1070"/>
      <c r="AA285" s="1070"/>
      <c r="AB285" s="1070"/>
      <c r="AC285" s="1070"/>
      <c r="AD285" s="1070"/>
      <c r="AE285" s="1070"/>
      <c r="AF285" s="1070"/>
      <c r="AG285" s="1070"/>
      <c r="AH285" s="1070"/>
      <c r="AI285" s="1070"/>
      <c r="AJ285" s="1070"/>
      <c r="AK285" s="1070"/>
      <c r="AL285" s="1071"/>
      <c r="AM285" s="1071"/>
      <c r="AN285" s="1068"/>
      <c r="AO285" s="1071"/>
      <c r="AP285" s="1071"/>
      <c r="AQ285" s="1072"/>
      <c r="AR285" s="1071"/>
      <c r="AS285" s="1071"/>
      <c r="AT285" s="1073"/>
      <c r="AU285" s="1074"/>
      <c r="AV285" s="1074"/>
      <c r="AW285" s="1074"/>
      <c r="AX285" s="1075"/>
      <c r="AY285" s="1074"/>
      <c r="AZ285" s="1074"/>
      <c r="BA285" s="1074"/>
      <c r="BB285" s="1074"/>
      <c r="BC285" s="1074"/>
      <c r="BD285" s="1074"/>
      <c r="BE285" s="1074"/>
      <c r="BF285" s="1073"/>
      <c r="BG285" s="1073"/>
      <c r="BH285" s="1073"/>
      <c r="BI285" s="1073"/>
      <c r="BJ285" s="1073"/>
      <c r="BK285" s="1073"/>
      <c r="BL285" s="1073"/>
      <c r="BM285" s="1073"/>
      <c r="BN285" s="1073"/>
      <c r="BO285" s="1073"/>
      <c r="BP285" s="1073"/>
      <c r="BQ285" s="1073"/>
      <c r="BR285" s="1076"/>
      <c r="BS285" s="1076"/>
      <c r="BT285" s="1076"/>
      <c r="BU285" s="1076"/>
      <c r="BV285" s="1076"/>
      <c r="BW285" s="1076"/>
      <c r="BX285" s="1076"/>
      <c r="BY285" s="1066"/>
      <c r="BZ285" s="1066"/>
      <c r="CA285" s="1066"/>
      <c r="CB285" s="1066"/>
      <c r="CC285" s="1066"/>
      <c r="CD285" s="1066"/>
      <c r="CE285" s="1066"/>
      <c r="CF285" s="1066"/>
      <c r="CH285" s="1066"/>
      <c r="CJ285" s="1066"/>
    </row>
    <row r="286" spans="2:108" s="1087" customFormat="1" ht="66.75" hidden="1" customHeight="1" thickBot="1">
      <c r="B286" s="1160" t="s">
        <v>437</v>
      </c>
      <c r="C286" s="1160"/>
      <c r="D286" s="1160"/>
      <c r="E286" s="1160"/>
      <c r="F286" s="1160"/>
      <c r="G286" s="1077"/>
      <c r="H286" s="1077"/>
      <c r="I286" s="1077"/>
      <c r="J286" s="1077"/>
      <c r="K286" s="1078" t="s">
        <v>438</v>
      </c>
      <c r="L286" s="1079"/>
      <c r="M286" s="1007"/>
      <c r="N286" s="1080"/>
      <c r="O286" s="1080"/>
      <c r="P286" s="1080"/>
      <c r="Q286" s="1080"/>
      <c r="R286" s="1080"/>
      <c r="S286" s="1080"/>
      <c r="T286" s="1080"/>
      <c r="U286" s="1080"/>
      <c r="V286" s="1080"/>
      <c r="W286" s="1080"/>
      <c r="X286" s="1080"/>
      <c r="Y286" s="1080"/>
      <c r="Z286" s="1080"/>
      <c r="AA286" s="1080"/>
      <c r="AB286" s="1080"/>
      <c r="AC286" s="1080"/>
      <c r="AD286" s="1080"/>
      <c r="AE286" s="1080"/>
      <c r="AF286" s="1080"/>
      <c r="AG286" s="1080"/>
      <c r="AH286" s="1080"/>
      <c r="AI286" s="1080"/>
      <c r="AJ286" s="1081"/>
      <c r="AK286" s="1080"/>
      <c r="AL286" s="1082"/>
      <c r="AM286" s="1082"/>
      <c r="AN286" s="1081"/>
      <c r="AO286" s="1082"/>
      <c r="AP286" s="1082"/>
      <c r="AQ286" s="1081"/>
      <c r="AR286" s="1083"/>
      <c r="AS286" s="1083"/>
      <c r="AT286" s="1084"/>
      <c r="AU286" s="1084"/>
      <c r="AV286" s="1084"/>
      <c r="AW286" s="1084"/>
      <c r="AX286" s="1085"/>
      <c r="AY286" s="1084"/>
      <c r="AZ286" s="1084"/>
      <c r="BA286" s="1084"/>
      <c r="BB286" s="1084"/>
      <c r="BC286" s="1084"/>
      <c r="BD286" s="1084"/>
      <c r="BE286" s="1084"/>
      <c r="BF286" s="1086"/>
      <c r="BG286" s="1086"/>
      <c r="BH286" s="1086"/>
      <c r="BI286" s="1086"/>
      <c r="BJ286" s="1086"/>
      <c r="BK286" s="1086"/>
      <c r="BL286" s="1084"/>
      <c r="BM286" s="1084"/>
      <c r="BN286" s="1084"/>
      <c r="BO286" s="1084"/>
      <c r="BP286" s="1084"/>
      <c r="BQ286" s="1084"/>
      <c r="BR286" s="1161"/>
      <c r="BS286" s="1161"/>
      <c r="BT286" s="1161"/>
      <c r="BU286" s="1161"/>
      <c r="BV286" s="1161"/>
      <c r="BW286" s="1161"/>
      <c r="BX286" s="1161"/>
      <c r="BY286" s="1077"/>
      <c r="BZ286" s="1077"/>
      <c r="CA286" s="1077"/>
      <c r="CB286" s="1077"/>
      <c r="CC286" s="1077"/>
      <c r="CD286" s="1077"/>
      <c r="CE286" s="1077"/>
      <c r="CF286" s="1077"/>
      <c r="CG286" s="1077"/>
      <c r="CH286" s="1077"/>
      <c r="CI286" s="1077"/>
      <c r="CJ286" s="1077"/>
      <c r="CK286" s="1077"/>
      <c r="CL286" s="1077"/>
      <c r="CM286" s="1077"/>
      <c r="CN286" s="1077"/>
      <c r="CO286" s="1077"/>
      <c r="CP286" s="1077"/>
      <c r="CQ286" s="1077"/>
      <c r="CR286" s="1077"/>
      <c r="CS286" s="1077"/>
      <c r="CT286" s="1077"/>
      <c r="CU286" s="1077"/>
      <c r="CV286" s="1077"/>
      <c r="CW286" s="1077"/>
      <c r="CX286" s="1077"/>
      <c r="CY286" s="1077"/>
      <c r="CZ286" s="1077"/>
      <c r="DA286" s="1077"/>
      <c r="DB286" s="1077"/>
      <c r="DC286" s="1077"/>
      <c r="DD286" s="1077"/>
    </row>
    <row r="287" spans="2:108" s="1096" customFormat="1" ht="16.5" hidden="1" customHeight="1" thickBot="1">
      <c r="B287" s="1088"/>
      <c r="C287" s="1089"/>
      <c r="D287" s="1090"/>
      <c r="E287" s="1091"/>
      <c r="F287" s="1091"/>
      <c r="G287" s="1091"/>
      <c r="H287" s="1091"/>
      <c r="I287" s="1091"/>
      <c r="J287" s="1091"/>
      <c r="K287" s="1092"/>
      <c r="L287" s="1093"/>
      <c r="M287" s="1093"/>
      <c r="N287" s="1093"/>
      <c r="O287" s="1093"/>
      <c r="P287" s="1093"/>
      <c r="Q287" s="1093"/>
      <c r="R287" s="1093"/>
      <c r="S287" s="1093"/>
      <c r="T287" s="1093"/>
      <c r="U287" s="1093"/>
      <c r="V287" s="1093"/>
      <c r="W287" s="1093"/>
      <c r="X287" s="1093"/>
      <c r="Y287" s="1093"/>
      <c r="Z287" s="1093"/>
      <c r="AA287" s="1093"/>
      <c r="AB287" s="1093"/>
      <c r="AC287" s="1093"/>
      <c r="AD287" s="1093"/>
      <c r="AE287" s="1093"/>
      <c r="AF287" s="1093"/>
      <c r="AG287" s="1093"/>
      <c r="AH287" s="1093"/>
      <c r="AI287" s="1093"/>
      <c r="AJ287" s="1093"/>
      <c r="AK287" s="1093"/>
      <c r="AL287" s="1093"/>
      <c r="AM287" s="1093"/>
      <c r="AN287" s="1093"/>
      <c r="AO287" s="1093"/>
      <c r="AP287" s="1093"/>
      <c r="AQ287" s="1093"/>
      <c r="AR287" s="1093"/>
      <c r="AS287" s="1093"/>
      <c r="AT287" s="1094"/>
      <c r="AU287" s="1094"/>
      <c r="AV287" s="1094"/>
      <c r="AW287" s="1094"/>
      <c r="AX287" s="1094"/>
      <c r="AY287" s="1094"/>
      <c r="AZ287" s="1094"/>
      <c r="BA287" s="1094"/>
      <c r="BB287" s="1094"/>
      <c r="BC287" s="1094"/>
      <c r="BD287" s="1094"/>
      <c r="BE287" s="1094"/>
      <c r="BF287" s="1094"/>
      <c r="BG287" s="1094"/>
      <c r="BH287" s="1094"/>
      <c r="BI287" s="1094"/>
      <c r="BJ287" s="1094"/>
      <c r="BK287" s="1094"/>
      <c r="BL287" s="1094"/>
      <c r="BM287" s="1094"/>
      <c r="BN287" s="1094"/>
      <c r="BO287" s="1094"/>
      <c r="BP287" s="1094"/>
      <c r="BQ287" s="1094"/>
      <c r="BR287" s="1094"/>
      <c r="BS287" s="1094"/>
      <c r="BT287" s="1094"/>
      <c r="BU287" s="1094"/>
      <c r="BV287" s="1094"/>
      <c r="BW287" s="1094"/>
      <c r="BX287" s="1095"/>
      <c r="BY287" s="1093"/>
      <c r="BZ287" s="1093"/>
      <c r="CA287" s="1093"/>
      <c r="CB287" s="1093"/>
      <c r="CC287" s="1093"/>
      <c r="CD287" s="1093"/>
      <c r="CE287" s="1093"/>
      <c r="CF287" s="1093"/>
      <c r="CH287" s="1093"/>
      <c r="CJ287" s="1093"/>
    </row>
    <row r="288" spans="2:108" s="1096" customFormat="1" ht="48" hidden="1" customHeight="1" thickBot="1">
      <c r="B288" s="1097" t="s">
        <v>439</v>
      </c>
      <c r="C288" s="1098" t="s">
        <v>440</v>
      </c>
      <c r="D288" s="1099"/>
      <c r="E288" s="1100"/>
      <c r="F288" s="1100"/>
      <c r="G288" s="1100"/>
      <c r="H288" s="1100"/>
      <c r="I288" s="1100"/>
      <c r="J288" s="1100"/>
      <c r="K288" s="1101" t="s">
        <v>441</v>
      </c>
      <c r="L288" s="1093"/>
      <c r="M288" s="1093"/>
      <c r="N288" s="1093"/>
      <c r="O288" s="1093"/>
      <c r="P288" s="1093"/>
      <c r="Q288" s="1093"/>
      <c r="R288" s="1093"/>
      <c r="S288" s="1093"/>
      <c r="T288" s="1093"/>
      <c r="U288" s="1093"/>
      <c r="V288" s="1093"/>
      <c r="W288" s="1093"/>
      <c r="X288" s="1093"/>
      <c r="Y288" s="1093"/>
      <c r="Z288" s="1093"/>
      <c r="AA288" s="1093"/>
      <c r="AB288" s="1093"/>
      <c r="AC288" s="1093"/>
      <c r="AD288" s="1093"/>
      <c r="AE288" s="1093"/>
      <c r="AF288" s="1093"/>
      <c r="AG288" s="1093"/>
      <c r="AH288" s="1093"/>
      <c r="AI288" s="1093"/>
      <c r="AJ288" s="1093"/>
      <c r="AK288" s="1093"/>
      <c r="AL288" s="1093"/>
      <c r="AM288" s="1093"/>
      <c r="AN288" s="1093"/>
      <c r="AO288" s="1093"/>
      <c r="AP288" s="1093"/>
      <c r="AQ288" s="1093"/>
      <c r="AR288" s="1093"/>
      <c r="AS288" s="1093"/>
      <c r="AT288" s="1094"/>
      <c r="AU288" s="1094"/>
      <c r="AV288" s="1094"/>
      <c r="AW288" s="1094"/>
      <c r="AX288" s="1094"/>
      <c r="AY288" s="1094"/>
      <c r="AZ288" s="1094"/>
      <c r="BA288" s="1094"/>
      <c r="BB288" s="1094"/>
      <c r="BC288" s="1094"/>
      <c r="BD288" s="1094"/>
      <c r="BE288" s="1094"/>
      <c r="BF288" s="1094"/>
      <c r="BG288" s="1094"/>
      <c r="BH288" s="1094"/>
      <c r="BI288" s="1094"/>
      <c r="BJ288" s="1094"/>
      <c r="BK288" s="1094"/>
      <c r="BL288" s="1094"/>
      <c r="BM288" s="1094"/>
      <c r="BN288" s="1094"/>
      <c r="BO288" s="1094"/>
      <c r="BP288" s="1094"/>
      <c r="BQ288" s="1094"/>
      <c r="BR288" s="1094"/>
      <c r="BS288" s="1094"/>
      <c r="BT288" s="1094"/>
      <c r="BU288" s="1094"/>
      <c r="BV288" s="1094"/>
      <c r="BW288" s="1094"/>
      <c r="BX288" s="1095"/>
      <c r="BY288" s="1093"/>
      <c r="BZ288" s="1093"/>
      <c r="CA288" s="1093"/>
      <c r="CB288" s="1093"/>
      <c r="CC288" s="1093"/>
      <c r="CD288" s="1093"/>
      <c r="CE288" s="1093"/>
      <c r="CF288" s="1093"/>
      <c r="CH288" s="1093"/>
      <c r="CJ288" s="1093"/>
    </row>
    <row r="289" spans="2:96" s="1110" customFormat="1" ht="45.75" hidden="1" customHeight="1" thickBot="1">
      <c r="B289" s="1102">
        <v>3909020.99786</v>
      </c>
      <c r="C289" s="1103">
        <v>3821453.0789000001</v>
      </c>
      <c r="D289" s="1104"/>
      <c r="E289" s="1105"/>
      <c r="F289" s="1105"/>
      <c r="G289" s="1105"/>
      <c r="H289" s="1105"/>
      <c r="I289" s="1105"/>
      <c r="J289" s="1105"/>
      <c r="K289" s="1106">
        <f>C289/B289</f>
        <v>0.9775985038177234</v>
      </c>
      <c r="L289" s="1107"/>
      <c r="M289" s="1107"/>
      <c r="N289" s="1107"/>
      <c r="O289" s="1107"/>
      <c r="P289" s="1107"/>
      <c r="Q289" s="1107"/>
      <c r="R289" s="1107"/>
      <c r="S289" s="1107"/>
      <c r="T289" s="1107"/>
      <c r="U289" s="1107"/>
      <c r="V289" s="1107"/>
      <c r="W289" s="1107"/>
      <c r="X289" s="1107"/>
      <c r="Y289" s="1107"/>
      <c r="Z289" s="1107"/>
      <c r="AA289" s="1107"/>
      <c r="AB289" s="1107"/>
      <c r="AC289" s="1107"/>
      <c r="AD289" s="1107"/>
      <c r="AE289" s="1107"/>
      <c r="AF289" s="1107"/>
      <c r="AG289" s="1107"/>
      <c r="AH289" s="1107"/>
      <c r="AI289" s="1107"/>
      <c r="AJ289" s="1107"/>
      <c r="AK289" s="1107"/>
      <c r="AL289" s="1107"/>
      <c r="AM289" s="1107"/>
      <c r="AN289" s="1107"/>
      <c r="AO289" s="1107"/>
      <c r="AP289" s="1107"/>
      <c r="AQ289" s="1107"/>
      <c r="AR289" s="1107"/>
      <c r="AS289" s="1107"/>
      <c r="AT289" s="1108"/>
      <c r="AU289" s="1108"/>
      <c r="AV289" s="1108"/>
      <c r="AW289" s="1108"/>
      <c r="AX289" s="1108"/>
      <c r="AY289" s="1108"/>
      <c r="AZ289" s="1108"/>
      <c r="BA289" s="1108"/>
      <c r="BB289" s="1108"/>
      <c r="BC289" s="1108"/>
      <c r="BD289" s="1108"/>
      <c r="BE289" s="1108"/>
      <c r="BF289" s="1108"/>
      <c r="BG289" s="1108"/>
      <c r="BH289" s="1108"/>
      <c r="BI289" s="1108"/>
      <c r="BJ289" s="1108"/>
      <c r="BK289" s="1108"/>
      <c r="BL289" s="1108"/>
      <c r="BM289" s="1108"/>
      <c r="BN289" s="1108"/>
      <c r="BO289" s="1108"/>
      <c r="BP289" s="1108"/>
      <c r="BQ289" s="1108"/>
      <c r="BR289" s="1108"/>
      <c r="BS289" s="1108"/>
      <c r="BT289" s="1108"/>
      <c r="BU289" s="1108"/>
      <c r="BV289" s="1108"/>
      <c r="BW289" s="1108"/>
      <c r="BX289" s="1109"/>
      <c r="BY289" s="1107"/>
      <c r="BZ289" s="1107"/>
      <c r="CA289" s="1107"/>
      <c r="CB289" s="1107"/>
      <c r="CC289" s="1107"/>
      <c r="CD289" s="1107"/>
      <c r="CE289" s="1107"/>
      <c r="CF289" s="1107"/>
      <c r="CH289" s="1107"/>
      <c r="CJ289" s="1107"/>
    </row>
    <row r="290" spans="2:96" s="1096" customFormat="1" ht="54.75" hidden="1" customHeight="1" thickBot="1">
      <c r="B290" s="1111" t="s">
        <v>442</v>
      </c>
      <c r="C290" s="1112" t="s">
        <v>443</v>
      </c>
      <c r="D290" s="1113"/>
      <c r="E290" s="1114"/>
      <c r="F290" s="1114"/>
      <c r="G290" s="1114"/>
      <c r="H290" s="1114"/>
      <c r="I290" s="1114"/>
      <c r="J290" s="1115"/>
      <c r="K290" s="1116" t="s">
        <v>444</v>
      </c>
      <c r="L290" s="1093"/>
      <c r="M290" s="1093"/>
      <c r="N290" s="1093"/>
      <c r="O290" s="1093"/>
      <c r="P290" s="1093"/>
      <c r="Q290" s="1093"/>
      <c r="R290" s="1093"/>
      <c r="S290" s="1093"/>
      <c r="T290" s="1093"/>
      <c r="U290" s="1093"/>
      <c r="V290" s="1093"/>
      <c r="W290" s="1093"/>
      <c r="X290" s="1093"/>
      <c r="Y290" s="1093"/>
      <c r="Z290" s="1093"/>
      <c r="AA290" s="1093"/>
      <c r="AB290" s="1093"/>
      <c r="AC290" s="1093"/>
      <c r="AD290" s="1093"/>
      <c r="AE290" s="1093"/>
      <c r="AF290" s="1093"/>
      <c r="AG290" s="1093"/>
      <c r="AH290" s="1093"/>
      <c r="AI290" s="1093"/>
      <c r="AJ290" s="1093"/>
      <c r="AK290" s="1093"/>
      <c r="AL290" s="1093"/>
      <c r="AM290" s="1093"/>
      <c r="AN290" s="1093"/>
      <c r="AO290" s="1093"/>
      <c r="AP290" s="1093"/>
      <c r="AQ290" s="1093"/>
      <c r="AR290" s="1093"/>
      <c r="AS290" s="1093"/>
      <c r="AT290" s="1162"/>
      <c r="AU290" s="1162"/>
      <c r="AV290" s="1162"/>
      <c r="AW290" s="1162"/>
      <c r="AX290" s="1162"/>
      <c r="AY290" s="1162"/>
      <c r="AZ290" s="1162"/>
      <c r="BA290" s="1162"/>
      <c r="BB290" s="1162"/>
      <c r="BC290" s="1162"/>
      <c r="BD290" s="1162"/>
      <c r="BE290" s="1162"/>
      <c r="BF290" s="1162"/>
      <c r="BG290" s="1162"/>
      <c r="BH290" s="1162"/>
      <c r="BI290" s="1162"/>
      <c r="BJ290" s="1162"/>
      <c r="BK290" s="1162"/>
      <c r="BL290" s="1162"/>
      <c r="BM290" s="1162"/>
      <c r="BN290" s="1162"/>
      <c r="BO290" s="1162"/>
      <c r="BP290" s="1162"/>
      <c r="BQ290" s="1162"/>
      <c r="BR290" s="1162"/>
      <c r="BS290" s="1162"/>
      <c r="BT290" s="1162"/>
      <c r="BU290" s="1162"/>
      <c r="BV290" s="1162"/>
      <c r="BW290" s="1117"/>
      <c r="BX290" s="1095"/>
      <c r="BY290" s="1093"/>
      <c r="BZ290" s="1093"/>
      <c r="CA290" s="1093"/>
      <c r="CB290" s="1093"/>
      <c r="CC290" s="1093"/>
      <c r="CD290" s="1093"/>
      <c r="CE290" s="1093"/>
      <c r="CF290" s="1093"/>
      <c r="CH290" s="1093"/>
      <c r="CJ290" s="1093"/>
    </row>
    <row r="291" spans="2:96" s="1123" customFormat="1" ht="51.75" hidden="1" customHeight="1" thickBot="1">
      <c r="B291" s="1118">
        <v>918344.01647000003</v>
      </c>
      <c r="C291" s="1119">
        <v>672536.74124</v>
      </c>
      <c r="D291" s="1120"/>
      <c r="E291" s="1120"/>
      <c r="F291" s="1120"/>
      <c r="G291" s="1120"/>
      <c r="H291" s="1120"/>
      <c r="I291" s="1120"/>
      <c r="J291" s="1120"/>
      <c r="K291" s="1121">
        <f>C291/B291</f>
        <v>0.73233638939048951</v>
      </c>
      <c r="L291" s="1093"/>
      <c r="M291" s="1093"/>
      <c r="N291" s="1093"/>
      <c r="O291" s="1093"/>
      <c r="P291" s="1093"/>
      <c r="Q291" s="1093"/>
      <c r="R291" s="1093"/>
      <c r="S291" s="1093"/>
      <c r="T291" s="1093"/>
      <c r="U291" s="1093"/>
      <c r="V291" s="1093"/>
      <c r="W291" s="1093"/>
      <c r="X291" s="1093"/>
      <c r="Y291" s="1093"/>
      <c r="Z291" s="1093"/>
      <c r="AA291" s="1093"/>
      <c r="AB291" s="1093"/>
      <c r="AC291" s="1093"/>
      <c r="AD291" s="1093"/>
      <c r="AE291" s="1093"/>
      <c r="AF291" s="1093"/>
      <c r="AG291" s="1093"/>
      <c r="AH291" s="1093"/>
      <c r="AI291" s="1093"/>
      <c r="AJ291" s="1093"/>
      <c r="AK291" s="1093"/>
      <c r="AL291" s="1093"/>
      <c r="AM291" s="1093"/>
      <c r="AN291" s="1093"/>
      <c r="AO291" s="1093"/>
      <c r="AP291" s="1093"/>
      <c r="AQ291" s="1093"/>
      <c r="AR291" s="1093"/>
      <c r="AS291" s="1093"/>
      <c r="AT291" s="1163"/>
      <c r="AU291" s="1163"/>
      <c r="AV291" s="1163"/>
      <c r="AW291" s="1163"/>
      <c r="AX291" s="1163"/>
      <c r="AY291" s="1163"/>
      <c r="AZ291" s="1163"/>
      <c r="BA291" s="1163"/>
      <c r="BB291" s="1163"/>
      <c r="BC291" s="1163"/>
      <c r="BD291" s="1163"/>
      <c r="BE291" s="1163"/>
      <c r="BF291" s="1163"/>
      <c r="BG291" s="1163"/>
      <c r="BH291" s="1163"/>
      <c r="BI291" s="1163"/>
      <c r="BJ291" s="1163"/>
      <c r="BK291" s="1163"/>
      <c r="BL291" s="1163"/>
      <c r="BM291" s="1163"/>
      <c r="BN291" s="1163"/>
      <c r="BO291" s="1163"/>
      <c r="BP291" s="1163"/>
      <c r="BQ291" s="1163"/>
      <c r="BR291" s="1163"/>
      <c r="BS291" s="1163"/>
      <c r="BT291" s="1163"/>
      <c r="BU291" s="1163"/>
      <c r="BV291" s="1163"/>
      <c r="BW291" s="1094"/>
      <c r="BX291" s="1122"/>
      <c r="BY291" s="1093"/>
      <c r="BZ291" s="1093"/>
      <c r="CA291" s="1093"/>
      <c r="CB291" s="1093"/>
      <c r="CC291" s="1093"/>
      <c r="CD291" s="1093"/>
      <c r="CE291" s="1093"/>
      <c r="CF291" s="1093"/>
      <c r="CH291" s="1093"/>
      <c r="CJ291" s="1093"/>
    </row>
    <row r="292" spans="2:96" ht="15" hidden="1" customHeight="1">
      <c r="K292" s="1124"/>
      <c r="L292" s="1007"/>
      <c r="M292" s="1007"/>
      <c r="N292" s="1125"/>
      <c r="O292" s="1125"/>
      <c r="P292" s="1125"/>
      <c r="Q292" s="1007"/>
      <c r="R292" s="1007"/>
      <c r="S292" s="1007"/>
      <c r="T292" s="1125"/>
      <c r="U292" s="1008"/>
      <c r="V292" s="1125"/>
      <c r="W292" s="1009"/>
      <c r="X292" s="1125"/>
      <c r="Y292" s="1010"/>
      <c r="Z292" s="1125"/>
      <c r="AA292" s="1008"/>
      <c r="AB292" s="1125"/>
      <c r="AC292" s="1009"/>
      <c r="AD292" s="1125"/>
      <c r="AE292" s="1125"/>
      <c r="AF292" s="1125"/>
      <c r="AG292" s="1125"/>
      <c r="AH292" s="1125"/>
      <c r="AI292" s="1125"/>
      <c r="AJ292" s="1125"/>
      <c r="AK292" s="1125"/>
      <c r="AL292" s="1012"/>
      <c r="AM292" s="1012"/>
      <c r="AN292" s="1125"/>
      <c r="AO292" s="1012"/>
      <c r="AP292" s="1012"/>
      <c r="AQ292" s="1125"/>
      <c r="AR292" s="1013"/>
      <c r="AS292" s="1013"/>
      <c r="AT292" s="1126"/>
      <c r="AU292" s="1127"/>
      <c r="AV292" s="1126"/>
      <c r="AW292" s="1127"/>
      <c r="AX292" s="1126"/>
      <c r="AY292" s="1128"/>
      <c r="AZ292" s="1127"/>
      <c r="BA292" s="1127"/>
      <c r="BB292" s="1127"/>
      <c r="BC292" s="1126"/>
      <c r="BD292" s="1125"/>
      <c r="BE292" s="1127"/>
      <c r="BF292" s="1127"/>
      <c r="BG292" s="1127"/>
      <c r="BH292" s="1127"/>
      <c r="BI292" s="1127"/>
      <c r="BJ292" s="1127"/>
      <c r="BK292" s="1127"/>
      <c r="BL292" s="1127"/>
      <c r="BM292" s="1127"/>
      <c r="BN292" s="1127"/>
      <c r="BO292" s="1127"/>
      <c r="BP292" s="1127"/>
      <c r="BQ292" s="1127"/>
      <c r="BR292" s="1127"/>
      <c r="BS292" s="1127"/>
      <c r="BT292" s="1127"/>
      <c r="BU292" s="1127"/>
      <c r="BV292" s="1127"/>
      <c r="BW292" s="1127"/>
      <c r="BX292" s="1127"/>
    </row>
    <row r="293" spans="2:96" ht="19.5" hidden="1" customHeight="1">
      <c r="B293" s="1037"/>
      <c r="C293" s="632"/>
      <c r="D293" s="1129"/>
      <c r="E293" s="1130"/>
      <c r="K293" s="1124"/>
      <c r="L293" s="1007"/>
      <c r="M293" s="1007"/>
      <c r="N293" s="1125"/>
      <c r="O293" s="1125"/>
      <c r="P293" s="1125"/>
      <c r="Q293" s="1007"/>
      <c r="R293" s="1007"/>
      <c r="S293" s="1007"/>
      <c r="T293" s="1125"/>
      <c r="U293" s="1008"/>
      <c r="V293" s="1125"/>
      <c r="W293" s="1009"/>
      <c r="X293" s="1125"/>
      <c r="Y293" s="1010"/>
      <c r="Z293" s="1125"/>
      <c r="AA293" s="1008"/>
      <c r="AB293" s="1125"/>
      <c r="AC293" s="1009"/>
      <c r="AD293" s="1125"/>
      <c r="AE293" s="1125"/>
      <c r="AF293" s="1125"/>
      <c r="AG293" s="1125"/>
      <c r="AH293" s="1125"/>
      <c r="AI293" s="1125"/>
      <c r="AJ293" s="1125"/>
      <c r="AK293" s="1125"/>
      <c r="AL293" s="1012"/>
      <c r="AM293" s="1012"/>
      <c r="AN293" s="1125"/>
      <c r="AO293" s="1012"/>
      <c r="AP293" s="1012"/>
      <c r="AQ293" s="1125"/>
      <c r="AR293" s="1013"/>
      <c r="AS293" s="1013"/>
      <c r="AT293" s="1126"/>
      <c r="AU293" s="1127"/>
      <c r="AV293" s="1126"/>
      <c r="AW293" s="1127"/>
      <c r="AX293" s="1127"/>
      <c r="AY293" s="1128"/>
      <c r="AZ293" s="1127"/>
      <c r="BA293" s="1127"/>
      <c r="BB293" s="1127"/>
      <c r="BC293" s="1127"/>
      <c r="BD293" s="1125"/>
      <c r="BE293" s="1127"/>
      <c r="BF293" s="1127"/>
      <c r="BG293" s="1127"/>
      <c r="BH293" s="1127"/>
      <c r="BI293" s="1127"/>
      <c r="BJ293" s="1127"/>
      <c r="BK293" s="1127"/>
      <c r="BL293" s="1127"/>
      <c r="BM293" s="1127"/>
      <c r="BN293" s="1127"/>
      <c r="BO293" s="1127"/>
      <c r="BP293" s="1127"/>
      <c r="BQ293" s="1127"/>
      <c r="BR293" s="1127"/>
      <c r="BS293" s="1127"/>
      <c r="BT293" s="1127"/>
      <c r="BU293" s="1127"/>
      <c r="BV293" s="1127"/>
      <c r="BW293" s="1127"/>
      <c r="BX293" s="1131"/>
    </row>
    <row r="294" spans="2:96" ht="36.75" hidden="1" customHeight="1">
      <c r="B294" s="1152"/>
      <c r="C294" s="1152"/>
      <c r="D294" s="1152"/>
      <c r="E294" s="1152"/>
      <c r="F294" s="1152"/>
      <c r="G294" s="1077"/>
      <c r="H294" s="1077"/>
      <c r="I294" s="1077"/>
      <c r="J294" s="1077"/>
      <c r="K294" s="1078"/>
      <c r="L294" s="1007"/>
      <c r="M294" s="1007"/>
      <c r="N294" s="1125"/>
      <c r="O294" s="1125"/>
      <c r="P294" s="1125"/>
      <c r="Q294" s="1007"/>
      <c r="R294" s="1007"/>
      <c r="S294" s="1007"/>
      <c r="T294" s="1125" t="e">
        <f>T271-AT271</f>
        <v>#REF!</v>
      </c>
      <c r="U294" s="1008"/>
      <c r="V294" s="1132" t="e">
        <f>V271-V266</f>
        <v>#REF!</v>
      </c>
      <c r="W294" s="1009"/>
      <c r="X294" s="1125"/>
      <c r="Y294" s="1010"/>
      <c r="Z294" s="1125"/>
      <c r="AA294" s="1125"/>
      <c r="AB294" s="1125"/>
      <c r="AC294" s="1125"/>
      <c r="AD294" s="1125"/>
      <c r="AE294" s="1125"/>
      <c r="AF294" s="1125"/>
      <c r="AG294" s="1125"/>
      <c r="AH294" s="1125"/>
      <c r="AI294" s="1125"/>
      <c r="AJ294" s="1012"/>
      <c r="AK294" s="1012"/>
      <c r="AL294" s="1125"/>
      <c r="AM294" s="1012"/>
      <c r="AN294" s="1012"/>
      <c r="AO294" s="1125"/>
      <c r="AP294" s="1013"/>
      <c r="AQ294" s="1013"/>
      <c r="AR294" s="1125"/>
      <c r="AS294" s="1012"/>
      <c r="AT294" s="1132"/>
      <c r="AU294" s="1012"/>
      <c r="AV294" s="1125"/>
      <c r="AW294" s="1133"/>
      <c r="AX294" s="1125"/>
      <c r="AY294" s="1125"/>
      <c r="AZ294" s="1125"/>
      <c r="BA294" s="1125"/>
      <c r="BB294" s="1125"/>
      <c r="BC294" s="1125"/>
      <c r="BD294" s="1125"/>
      <c r="BE294" s="1125"/>
      <c r="BF294" s="1125"/>
      <c r="BG294" s="1125"/>
      <c r="BH294" s="1125"/>
      <c r="BI294" s="1125"/>
      <c r="BJ294" s="1125"/>
      <c r="BK294" s="1125"/>
      <c r="BL294" s="1125"/>
      <c r="BM294" s="1125"/>
      <c r="BN294" s="1125"/>
      <c r="BO294" s="1125"/>
      <c r="BP294" s="1125"/>
      <c r="BQ294" s="1125"/>
      <c r="BR294" s="15"/>
      <c r="BS294" s="15"/>
      <c r="BT294" s="15"/>
      <c r="BU294" s="15"/>
      <c r="BV294" s="15"/>
      <c r="BW294" s="15"/>
      <c r="BX294" s="15"/>
      <c r="BY294" s="1"/>
      <c r="BZ294" s="1"/>
      <c r="CA294" s="1"/>
      <c r="CB294" s="1"/>
      <c r="CC294" s="1"/>
      <c r="CD294" s="1"/>
      <c r="CE294" s="1"/>
      <c r="CF294" s="1"/>
      <c r="CH294" s="1"/>
      <c r="CJ294" s="1"/>
    </row>
    <row r="295" spans="2:96" s="15" customFormat="1" ht="34.5" hidden="1" customHeight="1">
      <c r="B295" s="1134"/>
      <c r="C295" s="1135"/>
      <c r="D295" s="1136"/>
      <c r="E295" s="1137"/>
      <c r="F295" s="1137"/>
      <c r="G295" s="1137"/>
      <c r="H295" s="1137"/>
      <c r="I295" s="1137"/>
      <c r="J295" s="1137"/>
      <c r="K295" s="1138"/>
      <c r="L295" s="1007"/>
      <c r="M295" s="1007"/>
      <c r="N295" s="1125"/>
      <c r="O295" s="1125"/>
      <c r="P295" s="1125"/>
      <c r="Q295" s="1007"/>
      <c r="R295" s="1007"/>
      <c r="S295" s="1007"/>
      <c r="T295" s="1125"/>
      <c r="U295" s="1008"/>
      <c r="V295" s="1125"/>
      <c r="W295" s="1009"/>
      <c r="X295" s="1125"/>
      <c r="Y295" s="1010"/>
      <c r="Z295" s="1125"/>
      <c r="AA295" s="1125"/>
      <c r="AB295" s="1125"/>
      <c r="AC295" s="1125"/>
      <c r="AD295" s="1125"/>
      <c r="AE295" s="1125"/>
      <c r="AF295" s="1125"/>
      <c r="AG295" s="1125"/>
      <c r="AH295" s="1125"/>
      <c r="AI295" s="1125"/>
      <c r="AJ295" s="1012"/>
      <c r="AK295" s="1012"/>
      <c r="AL295" s="1125"/>
      <c r="AM295" s="1012"/>
      <c r="AN295" s="1012"/>
      <c r="AO295" s="1125"/>
      <c r="AP295" s="1013"/>
      <c r="AQ295" s="1013"/>
      <c r="AR295" s="1153"/>
      <c r="AS295" s="1153"/>
      <c r="AT295" s="1153"/>
      <c r="AU295" s="1153"/>
      <c r="AV295" s="1153"/>
      <c r="AW295" s="1153"/>
      <c r="AX295" s="1153"/>
      <c r="AY295" s="1153"/>
      <c r="AZ295" s="1153"/>
      <c r="BA295" s="1153"/>
      <c r="BB295" s="1153"/>
      <c r="BC295" s="1153"/>
      <c r="BD295" s="1153"/>
      <c r="BE295" s="1153"/>
      <c r="BF295" s="1153"/>
      <c r="BG295" s="1153"/>
      <c r="BH295" s="1153"/>
      <c r="BI295" s="1153"/>
      <c r="BJ295" s="1153"/>
      <c r="BK295" s="1153"/>
      <c r="BL295" s="1153"/>
      <c r="BM295" s="1153"/>
      <c r="BN295" s="1153"/>
      <c r="BO295" s="1135"/>
      <c r="BP295" s="1125"/>
      <c r="BQ295" s="1125"/>
    </row>
    <row r="296" spans="2:96" s="15" customFormat="1" ht="16.5" hidden="1" customHeight="1">
      <c r="B296" s="1134"/>
      <c r="C296" s="1135"/>
      <c r="D296" s="1136"/>
      <c r="E296" s="1137"/>
      <c r="F296" s="1137"/>
      <c r="G296" s="1137"/>
      <c r="H296" s="1137"/>
      <c r="I296" s="1137"/>
      <c r="J296" s="1137"/>
      <c r="K296" s="1138"/>
      <c r="L296" s="1007"/>
      <c r="M296" s="1007"/>
      <c r="N296" s="1125"/>
      <c r="O296" s="1125"/>
      <c r="P296" s="1125"/>
      <c r="Q296" s="1007"/>
      <c r="R296" s="1007"/>
      <c r="S296" s="1007"/>
      <c r="T296" s="1125"/>
      <c r="U296" s="1008"/>
      <c r="V296" s="1125"/>
      <c r="W296" s="1009"/>
      <c r="X296" s="1125"/>
      <c r="Y296" s="1010"/>
      <c r="Z296" s="1125"/>
      <c r="AA296" s="1125"/>
      <c r="AB296" s="1125"/>
      <c r="AC296" s="1125"/>
      <c r="AD296" s="1125"/>
      <c r="AE296" s="1125"/>
      <c r="AF296" s="1125"/>
      <c r="AG296" s="1125"/>
      <c r="AH296" s="1125"/>
      <c r="AI296" s="1125"/>
      <c r="AJ296" s="1012"/>
      <c r="AK296" s="1012"/>
      <c r="AL296" s="1125"/>
      <c r="AM296" s="1012"/>
      <c r="AN296" s="1012"/>
      <c r="AO296" s="1125"/>
      <c r="AP296" s="1013"/>
      <c r="AQ296" s="1013"/>
      <c r="AR296" s="1154"/>
      <c r="AS296" s="1155"/>
      <c r="AT296" s="1155"/>
      <c r="AU296" s="1155"/>
      <c r="AV296" s="1155"/>
      <c r="AW296" s="1155"/>
      <c r="AX296" s="1155"/>
      <c r="AY296" s="1155"/>
      <c r="AZ296" s="1155"/>
      <c r="BA296" s="1155"/>
      <c r="BB296" s="1155"/>
      <c r="BC296" s="1155"/>
      <c r="BD296" s="1155"/>
      <c r="BE296" s="1155"/>
      <c r="BF296" s="1155"/>
      <c r="BG296" s="1155"/>
      <c r="BH296" s="1155"/>
      <c r="BI296" s="1155"/>
      <c r="BJ296" s="1155"/>
      <c r="BK296" s="1155"/>
      <c r="BL296" s="1155"/>
      <c r="BM296" s="1155"/>
      <c r="BN296" s="1155"/>
      <c r="BO296" s="1139"/>
      <c r="BP296" s="1125"/>
      <c r="BQ296" s="1125"/>
    </row>
    <row r="297" spans="2:96" s="15" customFormat="1" ht="70.5" hidden="1" customHeight="1" thickBot="1">
      <c r="B297" s="1140"/>
      <c r="C297" s="1140"/>
      <c r="D297" s="1104"/>
      <c r="E297" s="1105"/>
      <c r="F297" s="1105"/>
      <c r="G297" s="1105"/>
      <c r="H297" s="1105"/>
      <c r="I297" s="1105"/>
      <c r="J297" s="1105"/>
      <c r="K297" s="1106"/>
      <c r="L297" s="1007"/>
      <c r="M297" s="1007"/>
      <c r="N297" s="1125"/>
      <c r="O297" s="1125"/>
      <c r="P297" s="1125"/>
      <c r="Q297" s="1007"/>
      <c r="R297" s="1007"/>
      <c r="S297" s="1007"/>
      <c r="T297" s="1125"/>
      <c r="U297" s="1008"/>
      <c r="V297" s="1125"/>
      <c r="W297" s="1009"/>
      <c r="X297" s="1125"/>
      <c r="Y297" s="1010"/>
      <c r="Z297" s="1125"/>
      <c r="AA297" s="1125"/>
      <c r="AB297" s="1125"/>
      <c r="AC297" s="1125"/>
      <c r="AD297" s="1125"/>
      <c r="AE297" s="1125"/>
      <c r="AF297" s="1125"/>
      <c r="AG297" s="1125"/>
      <c r="AH297" s="1125"/>
      <c r="AI297" s="1125"/>
      <c r="AJ297" s="1012"/>
      <c r="AK297" s="1012"/>
      <c r="AL297" s="1125"/>
      <c r="AM297" s="1012"/>
      <c r="AN297" s="1012"/>
      <c r="AO297" s="1125"/>
      <c r="AP297" s="1013"/>
      <c r="AQ297" s="1013"/>
      <c r="AR297" s="1155"/>
      <c r="AS297" s="1155"/>
      <c r="AT297" s="1155"/>
      <c r="AU297" s="1155"/>
      <c r="AV297" s="1155"/>
      <c r="AW297" s="1155"/>
      <c r="AX297" s="1155"/>
      <c r="AY297" s="1155"/>
      <c r="AZ297" s="1155"/>
      <c r="BA297" s="1155"/>
      <c r="BB297" s="1155"/>
      <c r="BC297" s="1155"/>
      <c r="BD297" s="1155"/>
      <c r="BE297" s="1155"/>
      <c r="BF297" s="1155"/>
      <c r="BG297" s="1155"/>
      <c r="BH297" s="1155"/>
      <c r="BI297" s="1155"/>
      <c r="BJ297" s="1155"/>
      <c r="BK297" s="1155"/>
      <c r="BL297" s="1155"/>
      <c r="BM297" s="1155"/>
      <c r="BN297" s="1155"/>
      <c r="BO297" s="1139"/>
      <c r="BP297" s="1125"/>
      <c r="BQ297" s="1125"/>
    </row>
    <row r="298" spans="2:96" ht="51.75" hidden="1" customHeight="1" thickBot="1">
      <c r="B298" s="1040" t="s">
        <v>445</v>
      </c>
      <c r="C298" s="1041" t="s">
        <v>446</v>
      </c>
      <c r="D298" s="1041" t="s">
        <v>429</v>
      </c>
      <c r="E298" s="1041" t="s">
        <v>430</v>
      </c>
      <c r="F298" s="1041" t="s">
        <v>431</v>
      </c>
      <c r="G298" s="1041" t="s">
        <v>432</v>
      </c>
      <c r="H298" s="1041" t="s">
        <v>433</v>
      </c>
      <c r="I298" s="1041" t="s">
        <v>434</v>
      </c>
      <c r="J298" s="1042" t="s">
        <v>435</v>
      </c>
      <c r="K298" s="1043" t="s">
        <v>436</v>
      </c>
      <c r="L298" s="1044"/>
      <c r="M298" s="1044"/>
      <c r="N298" s="1044"/>
      <c r="O298" s="1044"/>
      <c r="P298" s="1044"/>
      <c r="Q298" s="1044"/>
      <c r="R298" s="1044"/>
      <c r="S298" s="1044"/>
      <c r="T298" s="1045"/>
      <c r="U298" s="1044"/>
      <c r="V298" s="1046"/>
      <c r="W298" s="1044"/>
      <c r="X298" s="1045"/>
      <c r="Y298" s="1044"/>
      <c r="Z298" s="1045"/>
      <c r="AA298" s="1044"/>
      <c r="AB298" s="1046"/>
      <c r="AC298" s="1044"/>
      <c r="AD298" s="1044"/>
      <c r="AE298" s="1044"/>
      <c r="AF298" s="1044"/>
      <c r="AG298" s="1044"/>
      <c r="AH298" s="1044"/>
      <c r="AI298" s="1044"/>
      <c r="AJ298" s="1046"/>
      <c r="AK298" s="1047"/>
      <c r="AL298" s="1047"/>
      <c r="AM298" s="1048"/>
      <c r="AN298" s="1047"/>
      <c r="AO298" s="1047"/>
      <c r="AP298" s="1046"/>
      <c r="AQ298" s="1049"/>
      <c r="AR298" s="1049"/>
      <c r="AS298" s="1050"/>
      <c r="AT298" s="1156"/>
      <c r="AU298" s="1156"/>
      <c r="AV298" s="1052"/>
      <c r="AW298" s="1052"/>
      <c r="AX298" s="1052"/>
      <c r="AY298" s="1052"/>
      <c r="AZ298" s="1052"/>
      <c r="BA298" s="1052"/>
      <c r="BB298" s="1052"/>
      <c r="BC298" s="1052"/>
      <c r="BD298" s="1052"/>
      <c r="BE298" s="1052"/>
      <c r="BF298" s="1052"/>
      <c r="BG298" s="1052"/>
      <c r="BH298" s="1052"/>
      <c r="BI298" s="1052"/>
      <c r="BJ298" s="1052"/>
      <c r="BK298" s="1052"/>
      <c r="BL298" s="1052"/>
      <c r="BM298" s="1052"/>
      <c r="BN298" s="1052"/>
      <c r="BO298" s="1052"/>
      <c r="BP298" s="1052"/>
      <c r="BQ298" s="1052"/>
      <c r="BR298" s="1052"/>
      <c r="BS298" s="1052"/>
      <c r="BT298" s="1052"/>
      <c r="BU298" s="1052"/>
      <c r="BV298" s="1052"/>
      <c r="BW298" s="1052"/>
      <c r="BX298" s="1052"/>
      <c r="BY298" s="1052"/>
      <c r="BZ298" s="1052"/>
      <c r="CA298" s="1052"/>
      <c r="CB298" s="1052"/>
      <c r="CC298" s="1052"/>
      <c r="CD298" s="1052"/>
      <c r="CE298" s="1052"/>
      <c r="CF298" s="1052"/>
      <c r="CG298" s="1052"/>
      <c r="CH298" s="1052"/>
      <c r="CI298" s="1052"/>
      <c r="CJ298" s="1052"/>
      <c r="CK298" s="1052"/>
      <c r="CL298" s="1052"/>
      <c r="CM298" s="1052"/>
      <c r="CN298" s="1052"/>
      <c r="CO298" s="1052"/>
      <c r="CP298" s="1052"/>
      <c r="CQ298" s="1052"/>
      <c r="CR298" s="1052"/>
    </row>
    <row r="299" spans="2:96" ht="27.75" hidden="1" customHeight="1" thickBot="1">
      <c r="B299" s="1053">
        <v>3158761.1968499999</v>
      </c>
      <c r="C299" s="1054">
        <v>3087614.0992899998</v>
      </c>
      <c r="D299" s="1055">
        <v>499584.2</v>
      </c>
      <c r="E299" s="1055">
        <v>499584.2</v>
      </c>
      <c r="F299" s="1055">
        <v>499584.2</v>
      </c>
      <c r="G299" s="1055">
        <v>499584.2</v>
      </c>
      <c r="H299" s="1055">
        <v>499584.2</v>
      </c>
      <c r="I299" s="1055">
        <v>499584.2</v>
      </c>
      <c r="J299" s="1056">
        <v>499584.2</v>
      </c>
      <c r="K299" s="1057">
        <f>C299/B299</f>
        <v>0.97747626581238556</v>
      </c>
      <c r="L299" s="1058"/>
      <c r="M299" s="1058"/>
      <c r="N299" s="1058"/>
      <c r="O299" s="1058"/>
      <c r="P299" s="1058"/>
      <c r="Q299" s="1058"/>
      <c r="R299" s="1058"/>
      <c r="S299" s="1058"/>
      <c r="T299" s="1058"/>
      <c r="U299" s="1058"/>
      <c r="V299" s="1058"/>
      <c r="W299" s="1058"/>
      <c r="X299" s="1058"/>
      <c r="Y299" s="1058"/>
      <c r="Z299" s="1058"/>
      <c r="AA299" s="1058"/>
      <c r="AB299" s="1058"/>
      <c r="AC299" s="1058"/>
      <c r="AD299" s="1058"/>
      <c r="AE299" s="1058"/>
      <c r="AF299" s="1058"/>
      <c r="AG299" s="1058"/>
      <c r="AH299" s="1058"/>
      <c r="AI299" s="1058"/>
      <c r="AJ299" s="1058"/>
      <c r="AK299" s="1059"/>
      <c r="AL299" s="1059"/>
      <c r="AM299" s="1060"/>
      <c r="AN299" s="1059"/>
      <c r="AO299" s="1059"/>
      <c r="AP299" s="1059"/>
      <c r="AQ299" s="1059"/>
      <c r="AR299" s="1059"/>
      <c r="AS299" s="1061"/>
      <c r="AT299" s="1157"/>
      <c r="AU299" s="1157"/>
      <c r="AV299" s="1062"/>
      <c r="AW299" s="1062"/>
      <c r="AX299" s="1062"/>
      <c r="AY299" s="1062"/>
      <c r="AZ299" s="1062"/>
      <c r="BA299" s="1062"/>
      <c r="BB299" s="1062"/>
      <c r="BC299" s="1062"/>
      <c r="BD299" s="1062"/>
      <c r="BE299" s="1062"/>
      <c r="BF299" s="1062"/>
      <c r="BG299" s="1062"/>
      <c r="BH299" s="1062"/>
      <c r="BI299" s="1062"/>
      <c r="BJ299" s="1062"/>
      <c r="BK299" s="1062"/>
      <c r="BL299" s="1062"/>
      <c r="BM299" s="1062"/>
      <c r="BN299" s="1062"/>
      <c r="BO299" s="1062"/>
      <c r="BP299" s="1062"/>
      <c r="BQ299" s="1062"/>
      <c r="BR299" s="1062"/>
      <c r="BS299" s="1062"/>
      <c r="BT299" s="1062"/>
      <c r="BU299" s="1062"/>
      <c r="BV299" s="1062"/>
      <c r="BW299" s="1062"/>
      <c r="BX299" s="1062"/>
      <c r="BY299" s="1062"/>
      <c r="BZ299" s="1062"/>
      <c r="CA299" s="1062"/>
      <c r="CB299" s="1062"/>
      <c r="CC299" s="1062"/>
      <c r="CD299" s="1062"/>
      <c r="CE299" s="1062"/>
      <c r="CF299" s="1062"/>
      <c r="CG299" s="1062"/>
      <c r="CH299" s="1062"/>
      <c r="CI299" s="1062"/>
      <c r="CJ299" s="1062"/>
      <c r="CK299" s="1062"/>
      <c r="CL299" s="1062"/>
      <c r="CM299" s="1062"/>
      <c r="CN299" s="1062"/>
      <c r="CO299" s="1062"/>
      <c r="CP299" s="1062"/>
      <c r="CQ299" s="1062"/>
      <c r="CR299" s="1062"/>
    </row>
    <row r="300" spans="2:96" ht="15" hidden="1" customHeight="1"/>
    <row r="301" spans="2:96" ht="15" hidden="1" customHeight="1"/>
    <row r="302" spans="2:96" ht="15" hidden="1" customHeight="1"/>
    <row r="303" spans="2:96" ht="15" customHeight="1"/>
    <row r="304" spans="2:96" ht="15" customHeight="1"/>
    <row r="305" spans="2:48" ht="15" customHeight="1"/>
    <row r="307" spans="2:48">
      <c r="B307" s="1141"/>
      <c r="AV307" s="1039"/>
    </row>
    <row r="309" spans="2:48" ht="15" customHeight="1"/>
    <row r="310" spans="2:48" ht="15" customHeight="1"/>
    <row r="311" spans="2:48" ht="15" customHeight="1"/>
    <row r="312" spans="2:48" ht="15" customHeight="1"/>
    <row r="313" spans="2:48" ht="15" customHeight="1"/>
  </sheetData>
  <mergeCells count="118">
    <mergeCell ref="B2:BX2"/>
    <mergeCell ref="B3:S3"/>
    <mergeCell ref="B4:B5"/>
    <mergeCell ref="C4:C5"/>
    <mergeCell ref="D4:D5"/>
    <mergeCell ref="E4:E5"/>
    <mergeCell ref="H4:H5"/>
    <mergeCell ref="K4:K5"/>
    <mergeCell ref="L4:M4"/>
    <mergeCell ref="N4:N5"/>
    <mergeCell ref="AA4:AA5"/>
    <mergeCell ref="AB4:AD4"/>
    <mergeCell ref="AH4:AH5"/>
    <mergeCell ref="AK4:AK5"/>
    <mergeCell ref="AL4:AL5"/>
    <mergeCell ref="AM4:AM5"/>
    <mergeCell ref="O4:P4"/>
    <mergeCell ref="Q4:Q5"/>
    <mergeCell ref="R4:S4"/>
    <mergeCell ref="T4:T5"/>
    <mergeCell ref="U4:U5"/>
    <mergeCell ref="Z4:Z5"/>
    <mergeCell ref="BF4:BF5"/>
    <mergeCell ref="BG4:BG5"/>
    <mergeCell ref="BH4:BK4"/>
    <mergeCell ref="BL4:BL5"/>
    <mergeCell ref="BM4:BM5"/>
    <mergeCell ref="BN4:BQ4"/>
    <mergeCell ref="AT4:AT5"/>
    <mergeCell ref="AU4:AU5"/>
    <mergeCell ref="AV4:AY4"/>
    <mergeCell ref="AZ4:AZ5"/>
    <mergeCell ref="BA4:BA5"/>
    <mergeCell ref="BB4:BE4"/>
    <mergeCell ref="B7:C7"/>
    <mergeCell ref="B8:C8"/>
    <mergeCell ref="B9:C9"/>
    <mergeCell ref="B10:C10"/>
    <mergeCell ref="B11:C11"/>
    <mergeCell ref="B12:C12"/>
    <mergeCell ref="CK4:CK5"/>
    <mergeCell ref="BI5:BI6"/>
    <mergeCell ref="BK5:BK6"/>
    <mergeCell ref="BO5:BO6"/>
    <mergeCell ref="BQ5:BQ6"/>
    <mergeCell ref="BW5:BW6"/>
    <mergeCell ref="CB4:CE4"/>
    <mergeCell ref="CF4:CF5"/>
    <mergeCell ref="CG4:CG5"/>
    <mergeCell ref="CH4:CH5"/>
    <mergeCell ref="CI4:CI5"/>
    <mergeCell ref="CJ4:CJ5"/>
    <mergeCell ref="BR4:BR5"/>
    <mergeCell ref="BS4:BS5"/>
    <mergeCell ref="BT4:BW4"/>
    <mergeCell ref="BX4:BX5"/>
    <mergeCell ref="BZ4:BZ5"/>
    <mergeCell ref="CA4:CA5"/>
    <mergeCell ref="D28:D29"/>
    <mergeCell ref="BX28:BX30"/>
    <mergeCell ref="BX38:BX40"/>
    <mergeCell ref="BX41:BX48"/>
    <mergeCell ref="D84:D85"/>
    <mergeCell ref="BX84:BX88"/>
    <mergeCell ref="B13:C13"/>
    <mergeCell ref="B14:C14"/>
    <mergeCell ref="B15:C15"/>
    <mergeCell ref="B16:C16"/>
    <mergeCell ref="B18:CK18"/>
    <mergeCell ref="B19:CK19"/>
    <mergeCell ref="BX142:BX143"/>
    <mergeCell ref="B162:C162"/>
    <mergeCell ref="B163:C163"/>
    <mergeCell ref="B164:C164"/>
    <mergeCell ref="B165:CK165"/>
    <mergeCell ref="B206:C206"/>
    <mergeCell ref="D89:D90"/>
    <mergeCell ref="B124:C124"/>
    <mergeCell ref="B125:C125"/>
    <mergeCell ref="B126:C126"/>
    <mergeCell ref="B127:CK127"/>
    <mergeCell ref="BX136:BX137"/>
    <mergeCell ref="B217:C217"/>
    <mergeCell ref="B218:C218"/>
    <mergeCell ref="B226:D226"/>
    <mergeCell ref="B236:D236"/>
    <mergeCell ref="BX237:BX239"/>
    <mergeCell ref="B242:BV242"/>
    <mergeCell ref="B207:C207"/>
    <mergeCell ref="B208:C208"/>
    <mergeCell ref="B209:C209"/>
    <mergeCell ref="B210:C210"/>
    <mergeCell ref="B211:C211"/>
    <mergeCell ref="B212:CK212"/>
    <mergeCell ref="B275:C275"/>
    <mergeCell ref="B277:C277"/>
    <mergeCell ref="X281:AA281"/>
    <mergeCell ref="BL281:BX281"/>
    <mergeCell ref="CF281:CI281"/>
    <mergeCell ref="B282:C282"/>
    <mergeCell ref="AT282:AU282"/>
    <mergeCell ref="B258:CK258"/>
    <mergeCell ref="B265:CK265"/>
    <mergeCell ref="B271:C271"/>
    <mergeCell ref="B272:C272"/>
    <mergeCell ref="B273:C273"/>
    <mergeCell ref="B274:C274"/>
    <mergeCell ref="B294:F294"/>
    <mergeCell ref="AR295:BN295"/>
    <mergeCell ref="AR296:BN297"/>
    <mergeCell ref="AT298:AU298"/>
    <mergeCell ref="AT299:AU299"/>
    <mergeCell ref="AT283:AU283"/>
    <mergeCell ref="AT284:AU284"/>
    <mergeCell ref="B286:F286"/>
    <mergeCell ref="BR286:BX286"/>
    <mergeCell ref="AT290:BV290"/>
    <mergeCell ref="AT291:BV291"/>
  </mergeCells>
  <pageMargins left="0.39370078740157483" right="0.19685039370078741" top="0" bottom="0" header="0" footer="0"/>
  <pageSetup paperSize="8" scale="40" fitToHeight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тыс. руб краткая</vt:lpstr>
      <vt:lpstr>'тыс. руб краткая'!Заголовки_для_печати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Muhomorova_YuN</dc:creator>
  <cp:lastModifiedBy>Muhomorova_YuN</cp:lastModifiedBy>
  <cp:lastPrinted>2019-02-18T13:33:16Z</cp:lastPrinted>
  <dcterms:created xsi:type="dcterms:W3CDTF">2019-01-15T10:28:41Z</dcterms:created>
  <dcterms:modified xsi:type="dcterms:W3CDTF">2019-02-18T13:33:22Z</dcterms:modified>
</cp:coreProperties>
</file>