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Прилож.1" sheetId="1" r:id="rId1"/>
  </sheets>
  <definedNames>
    <definedName name="_xlnm.Print_Titles" localSheetId="0">'Прилож.1'!$5:$8</definedName>
  </definedNames>
  <calcPr fullCalcOnLoad="1"/>
</workbook>
</file>

<file path=xl/sharedStrings.xml><?xml version="1.0" encoding="utf-8"?>
<sst xmlns="http://schemas.openxmlformats.org/spreadsheetml/2006/main" count="334" uniqueCount="246">
  <si>
    <t>Наименование объекта</t>
  </si>
  <si>
    <t>Наименование района</t>
  </si>
  <si>
    <t>1</t>
  </si>
  <si>
    <t>2</t>
  </si>
  <si>
    <t>3</t>
  </si>
  <si>
    <t>ООО "РемСЭД"</t>
  </si>
  <si>
    <t>Приложение  1 к отчету</t>
  </si>
  <si>
    <t>Волховский р-он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</si>
  <si>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</si>
  <si>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</si>
  <si>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ГП Приозерское ДРСУ</t>
  </si>
  <si>
    <t>ГП Выборгское ДРЭУ</t>
  </si>
  <si>
    <t>ГП Лодейнопольское ДРСУ</t>
  </si>
  <si>
    <t>Подрядчик                                           по строительно-монтажным работам</t>
  </si>
  <si>
    <t>ИТОГО по содержанию автомобильных дорог общего пользования регионального и межмуниципального значения.</t>
  </si>
  <si>
    <t>в том числе проектно-изыскательские работы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</si>
  <si>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</si>
  <si>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</si>
  <si>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</si>
  <si>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ОАО "ГСК"</t>
  </si>
  <si>
    <t>ООО "Вега-2000"</t>
  </si>
  <si>
    <t>ЗАО "АБЗ-Дорстрой"</t>
  </si>
  <si>
    <t>ООО "ЭСКО"</t>
  </si>
  <si>
    <t>ПЛАН                на 2015 год (тыс.руб.)</t>
  </si>
  <si>
    <t xml:space="preserve"> ГП Лужское ДРСУ, ООО "ЭСКО"</t>
  </si>
  <si>
    <t>ГП Пригородное ДРСУ № 1, ООО"НордСтройТранс"</t>
  </si>
  <si>
    <t>ГП Пригородное ДРЭУ, ООО"НордСтройТранс"</t>
  </si>
  <si>
    <t>ГП Бокситогорское ДРСУ, ГП Лодейнопольское ДРСУ</t>
  </si>
  <si>
    <t>ООО "РемСЭД", ООО"НордСтройТранс"</t>
  </si>
  <si>
    <t>ГП Кингисеппское ДРСУ, ООО"НордСтройТранс"</t>
  </si>
  <si>
    <t>ГП Кингисеппское ДРСУ, ООО "ЭСКО"</t>
  </si>
  <si>
    <t>ГП Гатчинское ДРСУ,  ООО"НордСтройТранс"</t>
  </si>
  <si>
    <t>ООО "АБЗ КОТЛЫ"</t>
  </si>
  <si>
    <t>Петродворец – Кейкино, км 19+020 – км 19+769</t>
  </si>
  <si>
    <t>Фактическое выполнение работ за январь-март 2015г. (тыс.руб.)</t>
  </si>
  <si>
    <t xml:space="preserve"> а/д «Саперное-Мельниково-Кузнечное»  на участке км 53 – км 57</t>
  </si>
  <si>
    <t xml:space="preserve"> а/д «СПб-Ручьи»  на участке км 48 – км 49, км 57 - км 58</t>
  </si>
  <si>
    <t xml:space="preserve"> а/д «Лужицы-1 Мая»  на участке км 53+000 – км 58+500</t>
  </si>
  <si>
    <t xml:space="preserve"> а/д «Петрово - ст. Малукса»  на участке км 0+000 – км 4+250</t>
  </si>
  <si>
    <t xml:space="preserve"> Государственная программа ЛО   «Развитие автомобильных дорог Ленинградской области». Подпрограмма  «Поддержание существующей сети автомобильных дорог общего пользования» 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</si>
  <si>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</si>
  <si>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</si>
  <si>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</si>
  <si>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Сумма в тыс.руб.</t>
  </si>
  <si>
    <t>ООО"Вега-2000"</t>
  </si>
  <si>
    <t xml:space="preserve"> а/д «Пальцево-Гвардейское»  на участке км 0+000 – км 7+700</t>
  </si>
  <si>
    <t xml:space="preserve"> а/д «Померанье-Кунесть»  на участке км 0+000– км 4+000</t>
  </si>
  <si>
    <t xml:space="preserve">ООО«Автодорстрой» </t>
  </si>
  <si>
    <t>Парголово-Огоньки км 23+780 - км 33+000 (выборочно)</t>
  </si>
  <si>
    <t>Спб-Свердлова-Всеволожск км 24- км29 (выборочно)</t>
  </si>
  <si>
    <t>Спб-Морье км 2+189 - км 2+344</t>
  </si>
  <si>
    <t>Юкки-Кузьмолово км 8+500 - км 11+700 (выборочно)</t>
  </si>
  <si>
    <t>Мяглово - Кола км 0+000 - км 2+000 (выборочно)</t>
  </si>
  <si>
    <t>Спб - Матокса км 11+200 - км 17+000 (выборочно)</t>
  </si>
  <si>
    <t>Спб - Ручьи км 49+300 - 57+000 (выборочно)</t>
  </si>
  <si>
    <t>Форт Красная Горка-Коваши - Сосновый Бор км 12+650 - км 15+520 (выборочно)</t>
  </si>
  <si>
    <t>Итого по контракту:</t>
  </si>
  <si>
    <t>Всего по прочим расходам:</t>
  </si>
  <si>
    <t>ООО "А-Проект"</t>
  </si>
  <si>
    <t>Всеволожский</t>
  </si>
  <si>
    <t>ООО"АБЗ-Котлы"</t>
  </si>
  <si>
    <t>Волховский</t>
  </si>
  <si>
    <t>Капитальный ремонт моста через р. Сиглинка на км 85+418 автомобильной дороги "Зуево-Новая Ладога"</t>
  </si>
  <si>
    <t>ООО "СК "Балтийский Регион"</t>
  </si>
  <si>
    <t>Капитальный ремонт автомобильной дороги "Паша-Свирица-Загубье" на участке км 9+200 - км 19+962</t>
  </si>
  <si>
    <t>Лужский</t>
  </si>
  <si>
    <t>Ломоносовский</t>
  </si>
  <si>
    <t>Дыми – Бор – Колбеки – Бочево км 30+000 – км 34+200</t>
  </si>
  <si>
    <t>Дыми – Бор – Колбеки – Бочево км 23+500 – км 30+000</t>
  </si>
  <si>
    <t>Красная речка-Турандино, км 14+000 - км 15+000</t>
  </si>
  <si>
    <t>Большой Двор-Пакшеево- Самойлово, км 20+000 - км 41+100 (в т.ч. 0,9 км по н.п. а/б)</t>
  </si>
  <si>
    <t>Заголодно - Ефимовский - Радогощь, км 7+900 - км 12+140</t>
  </si>
  <si>
    <t>Итого:</t>
  </si>
  <si>
    <t>Заголодно - Ефимовский - Радогощь, км 12+140- км16+140</t>
  </si>
  <si>
    <t>Заголодно - Ефимовский - Радогощь, км 16+140- км31+700</t>
  </si>
  <si>
    <t>Итого по Бокситогорскому району</t>
  </si>
  <si>
    <t>Волхов-Бабино-Иссад, км 0+000 - км 15+629 (выборочно)</t>
  </si>
  <si>
    <t>Мост ч/р Елена на км 0+722а/д Старая Ладога - Кисельня</t>
  </si>
  <si>
    <t>ООО "Реммост"</t>
  </si>
  <si>
    <t>Итого по Волховскому району</t>
  </si>
  <si>
    <t>Новая Пустошь-Невская Дубровка, км 6+000 - км 13+900 (выборочно)</t>
  </si>
  <si>
    <t>ООО"Норд Строй Транс"</t>
  </si>
  <si>
    <t>Санкт-Петербург -Морье, км 9+544 - км 40+000</t>
  </si>
  <si>
    <t>КАД-Скотное, км 0+335 - км 9+050, (выборочно с пк3+35 по пк 90+50)</t>
  </si>
  <si>
    <t>Всеволожское ДРСУ</t>
  </si>
  <si>
    <t>Итого по Всеволожскому району</t>
  </si>
  <si>
    <t>Комсомольское-Приозерск км 22+980-км 26+240</t>
  </si>
  <si>
    <t>ООО"ЭСКО"</t>
  </si>
  <si>
    <t>Каменногорск-Лесогорский км 19+461-км 20+361</t>
  </si>
  <si>
    <t>Итого :</t>
  </si>
  <si>
    <t>Молодежное - Верхнее Черкасово км 4+732 - км 9+300</t>
  </si>
  <si>
    <t>Молодежное - Верхнее Черкасово км 9+300 - км 11+000</t>
  </si>
  <si>
    <t>Молодежное - Верхнее Черкасово  км 11+000 - км 22+000, км 24+000 - км 32+000</t>
  </si>
  <si>
    <t xml:space="preserve">Высокое - Синицино км 39+000 - км 41+800
</t>
  </si>
  <si>
    <t>Высокое - Синицыно  км 31+090 - км 39+000</t>
  </si>
  <si>
    <t>Рощино-Цвелодубово" км 6+000 - км 12+400</t>
  </si>
  <si>
    <t xml:space="preserve"> Подъезд к г. Зеленогорску  км 7+019 - км 7+955</t>
  </si>
  <si>
    <t>Рощино-Цвелодубово" км 0+000 - км 6+000</t>
  </si>
  <si>
    <t xml:space="preserve"> Огоньки - Стрельцово - Толоконниково  км 1+500 - км 8+271(выборочно)
</t>
  </si>
  <si>
    <t>Высокое  - Синицино км 21+600 - км 31+090</t>
  </si>
  <si>
    <t xml:space="preserve"> Огоньки - Стрельцово - Толоконниково  км 39+225 - км 68+525</t>
  </si>
  <si>
    <t>Выборг-Смирново  км 0+000 - км 4+350</t>
  </si>
  <si>
    <t>Подъезд к Лейпясоу  км 0+000 - км 2+300</t>
  </si>
  <si>
    <t xml:space="preserve">Подъезд дер. Староселье км 0+000 -  км 3+600 (выборочно)
</t>
  </si>
  <si>
    <t>Молодежное - Верхнее Черкасово км 32+000 - км 37+000</t>
  </si>
  <si>
    <t>Молодежное - Верхнее Черкасово км 37+000 - км 51+000</t>
  </si>
  <si>
    <t>Подъезд к п. Кутузово, км 0+430 - км 6+200</t>
  </si>
  <si>
    <t>Итого по Выборгскому району</t>
  </si>
  <si>
    <t>Торфяное-Коркузи-Сабры-АБЗ, км 0+000 - км 1+900</t>
  </si>
  <si>
    <t>Гатчинское ДРСУ</t>
  </si>
  <si>
    <t xml:space="preserve">Кемполово-Выра-Тосно-Шапки, км 79+000-км 80+000
</t>
  </si>
  <si>
    <t>ООО"ИнжДорСтрой"</t>
  </si>
  <si>
    <t xml:space="preserve">Пустошка – Вырица, км 3+000– км 6+980 
</t>
  </si>
  <si>
    <t>Никольское - Воскресенское,  км 2+820</t>
  </si>
  <si>
    <t>Подъезд к д. Ольховец, км 0+000-0+730</t>
  </si>
  <si>
    <t>Рошаля-Черново-Учхоз, км 0+000 - км 1+000</t>
  </si>
  <si>
    <t>ООО "ДАФ"</t>
  </si>
  <si>
    <t>Рошаля-Черново-Учхоз, км 1+000 - км 5+000</t>
  </si>
  <si>
    <t>Стрельна - Кипень - Гатчина, км 39+800 - км 41+00</t>
  </si>
  <si>
    <t>Итого по Гатчинскому району</t>
  </si>
  <si>
    <t xml:space="preserve">Подъезд к д. Клённо  км 6+000 - км 10+000
</t>
  </si>
  <si>
    <t>ООО ЭСКО</t>
  </si>
  <si>
    <t xml:space="preserve">Гурлёво-Кёрстово  км 0+000 - км 8+126
</t>
  </si>
  <si>
    <t xml:space="preserve">Псков - Гдов - Сланцы - Кингисепп – 
Краколье,  км 246 - 247. км 256 - км 257
</t>
  </si>
  <si>
    <t>ООО "АБЗ Котлы"</t>
  </si>
  <si>
    <t xml:space="preserve">Псков - Гдов - Сланцы - Кингисепп – 
Краколье,  км 199+203 -  км 216+328
</t>
  </si>
  <si>
    <t>Лужицы – 1 Мая. км 58+000 – км 68+000</t>
  </si>
  <si>
    <t>Остров-Струппово, км 0+000 - км 7+000</t>
  </si>
  <si>
    <t>Псков - Гдов - Сланцы - Кингисепп – 
Краколье,  км 220+000 - км 263+000 (выборочно)</t>
  </si>
  <si>
    <t>Итого по Кингисеппскому району</t>
  </si>
  <si>
    <t>Киришский</t>
  </si>
  <si>
    <t>Кириши-Городище-Волхов, км 2+800 - км 5+500</t>
  </si>
  <si>
    <t>Подъезд к д. Пчевжа, км 0+000 - км 0+860</t>
  </si>
  <si>
    <t>Кириши-Городище-Волхов, км 5+500 - км 8+000</t>
  </si>
  <si>
    <t>Кириши-Городище-Волхов, км 0+000 - км 1+200</t>
  </si>
  <si>
    <t>Итого по Киришскому району</t>
  </si>
  <si>
    <t>Войпала-Сирокасска-Васильково-Горная Шальдиха, км 0+000 - км 4+000</t>
  </si>
  <si>
    <t>ОАО"ГСК"</t>
  </si>
  <si>
    <t xml:space="preserve">Лаврово - Шум - Ратница км 0+000 - км 7+523
</t>
  </si>
  <si>
    <t>Подъезд к Синявино-2 , км 0+000 - км 1+490</t>
  </si>
  <si>
    <t>Подъезд к Войтолово , км 0+000 - км 1+200</t>
  </si>
  <si>
    <t>Санкт-Петербург - Кировск, км 35+000 - км 38+530 с примыканием к а/д Ульяновка-Отрадное</t>
  </si>
  <si>
    <t>Итого по Кировскому району</t>
  </si>
  <si>
    <t>Ставрополье-Осьмино, км 26+500 - км 32+000</t>
  </si>
  <si>
    <t>Ретюнь-Волошово-Сара Гора, км57+000 - км 71+000</t>
  </si>
  <si>
    <t>ООО"Дивный град"</t>
  </si>
  <si>
    <t>Подъезд к ст. Низовская , км 0+000 - км 4+000</t>
  </si>
  <si>
    <t>Ретюнь - Волошово - Сара Гора, км 13+725 - 31+000 (выборочно)</t>
  </si>
  <si>
    <t>Итого по Лужскому району</t>
  </si>
  <si>
    <t>Лодейнопольский</t>
  </si>
  <si>
    <t>ст.Оять-Алеховщина-Надпорожье-Плотично, км 49+000 - км 50+000, км 27+102 - км 37+000 (выборочно)</t>
  </si>
  <si>
    <t>Итого по Лодейнопольскому району</t>
  </si>
  <si>
    <t>Петродворец – Кейкино, км 64+000 – км 71+159</t>
  </si>
  <si>
    <t>Новый Петергоф – Низино – Сашино, км 4+220-4+938</t>
  </si>
  <si>
    <t>Подъезд к птицефабрике "Русско-Высоцкая"от автодороги Анташи - Ропша –Красное Село км 0+000 - км 3+430.</t>
  </si>
  <si>
    <t>Стрельна-Пески-Яльгелево, км 8+300 - км 9+900</t>
  </si>
  <si>
    <t>Лопухинка-Горки-Шелково, км 0+000 - км 6+000</t>
  </si>
  <si>
    <t>Низковицы-Переярово-Кипень, км 8+300 - км 13+160</t>
  </si>
  <si>
    <t>Форт-Коваши-Сосновый Бор,км 2+000 - км 8+500</t>
  </si>
  <si>
    <t>Мост ч/р Воронка на км 102+886 а/д СПб - Ручьи</t>
  </si>
  <si>
    <t>ООО ПО "Дивный град"</t>
  </si>
  <si>
    <t>Петродворец – Кейкино, км 19+020 - км 19+769</t>
  </si>
  <si>
    <t>Итого по Ломоносовскому району</t>
  </si>
  <si>
    <t>Подпорожский</t>
  </si>
  <si>
    <t>а/д Подъезд к ст. Подпорожье, км 0+000 - км 4+000</t>
  </si>
  <si>
    <t>ООО"Корпорация Евротракт"</t>
  </si>
  <si>
    <t>а/д Подпорожье - Хевроньино- Бухова Гора - ст.Токари- Курпово, км 27+000 - км 63+000</t>
  </si>
  <si>
    <t>Подъезд к п. Никольский, км 0+000 - км 3+229</t>
  </si>
  <si>
    <t>Итого по Подпорожскому району</t>
  </si>
  <si>
    <t xml:space="preserve">Приозерский </t>
  </si>
  <si>
    <t xml:space="preserve">Пески-Сосново-Подгорье, км 26+728 - км 27+478 </t>
  </si>
  <si>
    <t>Пески-Сосново-Подгорье, км  27+478 - км 32+935</t>
  </si>
  <si>
    <t>Громово-Яблоновка, км 0+280 - 9+107</t>
  </si>
  <si>
    <t>Итого по Приозерскому району</t>
  </si>
  <si>
    <t xml:space="preserve">Попкова - Гора - Казино, км 7+000 - км 11+400
</t>
  </si>
  <si>
    <t>Сланцы- Втроя, км 0+000 - км 1+100, км 17+000 - км 22+300, 23+600 - км 28+300</t>
  </si>
  <si>
    <t>Псков-Гдов-Сланцы-Кингисепп-Краколье км 180+000 - км 199+203 (выборочно, км 180+000 - км 184+000)</t>
  </si>
  <si>
    <t>Итого по Сланцевскому району</t>
  </si>
  <si>
    <t>Тихвинский</t>
  </si>
  <si>
    <t xml:space="preserve">Паша-Часовенская-Кайвакса км 61+000- км 69+950
</t>
  </si>
  <si>
    <t>ООО"Строительная компания "Гермес""</t>
  </si>
  <si>
    <t>Подъезд к д. Дуброво, км 4+600 - км 5+500</t>
  </si>
  <si>
    <t>Подъезд к д. Дуброво, км  5+500 - км 13+950</t>
  </si>
  <si>
    <t>Итого по Тихвинскому району</t>
  </si>
  <si>
    <t>Путепровод через ж/д пути км 112 +288 а/д Кемполово-Выра-Тосно-Шапки</t>
  </si>
  <si>
    <t>Всеволожск "Стройпроект"</t>
  </si>
  <si>
    <t>Кемполово-Выра-Тосно-Шапки, км 85+351 - км 86+000, км 88+000 - км 92+000</t>
  </si>
  <si>
    <t>Итого по Тосненскому району</t>
  </si>
  <si>
    <t>ИТОГО по  текущим ремонтам</t>
  </si>
  <si>
    <t>33,8 п.м.</t>
  </si>
  <si>
    <t>Ввод              км/п.м</t>
  </si>
  <si>
    <t>а/д "Новая Пустошь -Невская Дубровка" на км 0+000 - км 6+000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</si>
  <si>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</si>
  <si>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</si>
  <si>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 xml:space="preserve"> в т.ч. автодороги с твердым покрытием до сельских населенных пунктов, не имеющих круглогодичной связи с сетью автодорог общего пользования:</t>
  </si>
  <si>
    <t>Красная Речка - Турандино, км 14 - км 15</t>
  </si>
  <si>
    <t>Большой Двор - Пакшеево - Самойлово, км 20+000 - км 41+100</t>
  </si>
  <si>
    <t xml:space="preserve">п. 8.  Прочие расходы на приведение в нормативное состояние отдельных участков региональных автомобильных дорог. </t>
  </si>
  <si>
    <t>Петродворец – Кейкино, км 13+470 – км 13+494</t>
  </si>
  <si>
    <t>ГП "Ломоносовское ДРСУ</t>
  </si>
  <si>
    <t>Сосновый Бор-Глобицы, км 10-км 16+620(выборочно)</t>
  </si>
  <si>
    <t>Подъезд к п. Кутузово, км 6+200 - км 10+600</t>
  </si>
  <si>
    <t>Выборг-Светогорск  км 0+025 - км 40+850 (выборочно)</t>
  </si>
  <si>
    <t>Среднегорье-Топольки, км 7 - км9</t>
  </si>
  <si>
    <t>Среднегорье-Топольки, км 9 - км 12+935</t>
  </si>
  <si>
    <t>Расшифровка объемов выполнения работ по  содержанию, капитальному ремонту и ремонту автомобильных дорог общего пользования регионального и межмуниципального значения  за январь-декабрь 2015 года.</t>
  </si>
  <si>
    <t>28414,8</t>
  </si>
  <si>
    <t>План</t>
  </si>
  <si>
    <t>факт 2015</t>
  </si>
  <si>
    <t>290,1 п.м</t>
  </si>
  <si>
    <t>24596,6</t>
  </si>
  <si>
    <t>Комбаково — Шапша — Печеницы км 2+000 — км15+000 (выборочно)</t>
  </si>
  <si>
    <t>Итого по Лодейнопольскому району:</t>
  </si>
  <si>
    <t>Мост через реку Пагуба на км 19+102 а/д "Ретюнь - Волошово - Сара Гора"</t>
  </si>
  <si>
    <t>Итого по Лужскому району:</t>
  </si>
  <si>
    <t>Мост через рку Ковра на км 4+199 а/д "Подъезд к ст. Жихарево"</t>
  </si>
  <si>
    <t>Итого по Кировскому району:</t>
  </si>
  <si>
    <t>Мост через р.Валгомка на км 5+500 а/д "Низино-Заречье - Лунгачи - Курика"</t>
  </si>
  <si>
    <t>Итого по Волховскому району:</t>
  </si>
  <si>
    <t>ООО Дк «Тракт»</t>
  </si>
  <si>
    <t>Итого по Всеволожскому району:</t>
  </si>
  <si>
    <t>Итого по Ломоносовскому району:</t>
  </si>
  <si>
    <t xml:space="preserve">Фактическое выполнение работ за январь-декабрь 2015г. </t>
  </si>
  <si>
    <t>249,5 /323,9 п.м</t>
  </si>
  <si>
    <t>Всеволожский    район</t>
  </si>
  <si>
    <t>Ломоносовский   район</t>
  </si>
  <si>
    <t>Лодейнопольский район</t>
  </si>
  <si>
    <t>Лужский район</t>
  </si>
  <si>
    <t>Кировский район</t>
  </si>
  <si>
    <t>Волховский район</t>
  </si>
  <si>
    <t>Бокситогорский район</t>
  </si>
  <si>
    <t>Всеволожский район</t>
  </si>
  <si>
    <t>Кингисеппский район</t>
  </si>
  <si>
    <t>Ломоносовский район</t>
  </si>
  <si>
    <t>Волосовский район</t>
  </si>
  <si>
    <t>Выборгский район</t>
  </si>
  <si>
    <t>Гатчинский район</t>
  </si>
  <si>
    <t>Киришский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</si>
  <si>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</si>
  <si>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</si>
  <si>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</si>
  <si>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</si>
  <si>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</si>
  <si>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Кингисеппский  район</t>
  </si>
  <si>
    <t>Ломоносовский      район</t>
  </si>
  <si>
    <t>Подпорожский  район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</si>
</sst>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_ ;\-0.00\ "/>
    <numFmt numFmtId="183" formatCode="0.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0"/>
    <numFmt numFmtId="191" formatCode="0.0000"/>
    <numFmt numFmtId="192" formatCode="#,##0.0000"/>
    <numFmt numFmtId="193" formatCode="#,##0.000000"/>
    <numFmt numFmtId="194" formatCode="#,##0.0000000"/>
    <numFmt numFmtId="195" formatCode="_(* #,##0.000_);_(* \(#,##0.000\);_(* &quot;-&quot;??_);_(@_)"/>
    <numFmt numFmtId="196" formatCode="_-* #,##0.000_р_._-;\-* #,##0.000_р_._-;_-* &quot;-&quot;???_р_._-;_-@_-"/>
    <numFmt numFmtId="197" formatCode="#,##0.00000_р_."/>
    <numFmt numFmtId="198" formatCode="0.0%"/>
  </numFmts>
  <fonts count="36">
    <font>
      <sz val="10"/>
      <name val="Arial"/>
      <family val="0"/>
    </font>
    <font>
      <sz val="8"/>
      <name val="Arial"/>
      <family val="0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vertical="top" textRotation="90" wrapText="1"/>
    </xf>
    <xf numFmtId="49" fontId="25" fillId="0" borderId="0" xfId="0" applyNumberFormat="1" applyFont="1" applyFill="1" applyAlignment="1">
      <alignment vertical="center" wrapText="1"/>
    </xf>
    <xf numFmtId="180" fontId="22" fillId="0" borderId="0" xfId="0" applyNumberFormat="1" applyFont="1" applyFill="1" applyAlignment="1">
      <alignment horizontal="right" vertical="center" wrapText="1"/>
    </xf>
    <xf numFmtId="0" fontId="25" fillId="24" borderId="0" xfId="54" applyFont="1" applyFill="1" applyAlignment="1">
      <alignment vertical="center" textRotation="90" wrapText="1"/>
      <protection/>
    </xf>
    <xf numFmtId="0" fontId="25" fillId="24" borderId="0" xfId="54" applyFont="1" applyFill="1" applyAlignment="1">
      <alignment vertical="center" wrapText="1"/>
      <protection/>
    </xf>
    <xf numFmtId="0" fontId="26" fillId="24" borderId="0" xfId="54" applyFont="1" applyFill="1" applyAlignment="1">
      <alignment horizontal="center" vertical="center" wrapText="1"/>
      <protection/>
    </xf>
    <xf numFmtId="0" fontId="26" fillId="24" borderId="0" xfId="54" applyFont="1" applyFill="1" applyAlignment="1">
      <alignment horizontal="center" vertical="center" textRotation="90" wrapText="1"/>
      <protection/>
    </xf>
    <xf numFmtId="2" fontId="26" fillId="24" borderId="0" xfId="54" applyNumberFormat="1" applyFont="1" applyFill="1" applyAlignment="1">
      <alignment horizontal="center" vertical="center" wrapText="1"/>
      <protection/>
    </xf>
    <xf numFmtId="1" fontId="26" fillId="24" borderId="0" xfId="54" applyNumberFormat="1" applyFont="1" applyFill="1" applyAlignment="1">
      <alignment horizontal="center" vertical="center" wrapText="1"/>
      <protection/>
    </xf>
    <xf numFmtId="181" fontId="26" fillId="24" borderId="0" xfId="54" applyNumberFormat="1" applyFont="1" applyFill="1" applyAlignment="1">
      <alignment horizontal="center" vertical="center" wrapText="1"/>
      <protection/>
    </xf>
    <xf numFmtId="1" fontId="22" fillId="24" borderId="10" xfId="54" applyNumberFormat="1" applyFont="1" applyFill="1" applyBorder="1" applyAlignment="1">
      <alignment horizontal="center" vertical="center" wrapText="1"/>
      <protection/>
    </xf>
    <xf numFmtId="181" fontId="22" fillId="24" borderId="10" xfId="54" applyNumberFormat="1" applyFont="1" applyFill="1" applyBorder="1" applyAlignment="1">
      <alignment horizontal="center" vertical="center" wrapText="1"/>
      <protection/>
    </xf>
    <xf numFmtId="181" fontId="23" fillId="24" borderId="10" xfId="54" applyNumberFormat="1" applyFont="1" applyFill="1" applyBorder="1" applyAlignment="1">
      <alignment horizontal="center" vertical="center" wrapText="1"/>
      <protection/>
    </xf>
    <xf numFmtId="2" fontId="25" fillId="24" borderId="0" xfId="54" applyNumberFormat="1" applyFont="1" applyFill="1" applyAlignment="1">
      <alignment vertical="center" wrapText="1"/>
      <protection/>
    </xf>
    <xf numFmtId="2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vertical="center" wrapText="1"/>
    </xf>
    <xf numFmtId="180" fontId="28" fillId="24" borderId="10" xfId="0" applyNumberFormat="1" applyFont="1" applyFill="1" applyBorder="1" applyAlignment="1">
      <alignment horizontal="left" vertical="center" wrapText="1"/>
    </xf>
    <xf numFmtId="1" fontId="23" fillId="24" borderId="10" xfId="54" applyNumberFormat="1" applyFont="1" applyFill="1" applyBorder="1" applyAlignment="1">
      <alignment horizontal="center" vertical="center" wrapText="1"/>
      <protection/>
    </xf>
    <xf numFmtId="181" fontId="30" fillId="24" borderId="0" xfId="54" applyNumberFormat="1" applyFont="1" applyFill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2" fillId="24" borderId="11" xfId="54" applyNumberFormat="1" applyFont="1" applyFill="1" applyBorder="1" applyAlignment="1">
      <alignment vertical="center" wrapText="1"/>
      <protection/>
    </xf>
    <xf numFmtId="49" fontId="22" fillId="24" borderId="12" xfId="54" applyNumberFormat="1" applyFont="1" applyFill="1" applyBorder="1" applyAlignment="1">
      <alignment vertical="center" wrapText="1"/>
      <protection/>
    </xf>
    <xf numFmtId="49" fontId="22" fillId="24" borderId="13" xfId="54" applyNumberFormat="1" applyFont="1" applyFill="1" applyBorder="1" applyAlignment="1">
      <alignment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190" fontId="31" fillId="25" borderId="10" xfId="0" applyNumberFormat="1" applyFont="1" applyFill="1" applyBorder="1" applyAlignment="1">
      <alignment vertical="center" wrapText="1"/>
    </xf>
    <xf numFmtId="190" fontId="32" fillId="25" borderId="10" xfId="0" applyNumberFormat="1" applyFont="1" applyFill="1" applyBorder="1" applyAlignment="1">
      <alignment vertical="center" wrapText="1"/>
    </xf>
    <xf numFmtId="181" fontId="22" fillId="25" borderId="10" xfId="53" applyNumberFormat="1" applyFont="1" applyFill="1" applyBorder="1" applyAlignment="1">
      <alignment horizontal="center" vertical="center" wrapText="1"/>
      <protection/>
    </xf>
    <xf numFmtId="181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22" fillId="25" borderId="10" xfId="53" applyFont="1" applyFill="1" applyBorder="1" applyAlignment="1">
      <alignment horizontal="center" vertical="center" wrapText="1"/>
      <protection/>
    </xf>
    <xf numFmtId="0" fontId="22" fillId="25" borderId="10" xfId="53" applyFont="1" applyFill="1" applyBorder="1" applyAlignment="1">
      <alignment horizontal="left" vertical="center" wrapText="1"/>
      <protection/>
    </xf>
    <xf numFmtId="0" fontId="23" fillId="25" borderId="14" xfId="53" applyFont="1" applyFill="1" applyBorder="1" applyAlignment="1">
      <alignment horizontal="center" vertical="center" wrapText="1"/>
      <protection/>
    </xf>
    <xf numFmtId="0" fontId="22" fillId="25" borderId="15" xfId="53" applyFont="1" applyFill="1" applyBorder="1" applyAlignment="1">
      <alignment horizontal="center" vertical="center" wrapText="1"/>
      <protection/>
    </xf>
    <xf numFmtId="0" fontId="23" fillId="25" borderId="16" xfId="53" applyFont="1" applyFill="1" applyBorder="1" applyAlignment="1">
      <alignment horizontal="center" vertical="center" wrapText="1"/>
      <protection/>
    </xf>
    <xf numFmtId="0" fontId="23" fillId="25" borderId="16" xfId="53" applyFont="1" applyFill="1" applyBorder="1" applyAlignment="1">
      <alignment horizontal="left" vertical="center" wrapText="1"/>
      <protection/>
    </xf>
    <xf numFmtId="0" fontId="22" fillId="25" borderId="16" xfId="53" applyFont="1" applyFill="1" applyBorder="1" applyAlignment="1">
      <alignment horizontal="left" vertical="center" wrapText="1"/>
      <protection/>
    </xf>
    <xf numFmtId="0" fontId="22" fillId="25" borderId="17" xfId="53" applyFont="1" applyFill="1" applyBorder="1" applyAlignment="1">
      <alignment horizontal="center" vertical="center" wrapText="1"/>
      <protection/>
    </xf>
    <xf numFmtId="4" fontId="22" fillId="25" borderId="10" xfId="0" applyNumberFormat="1" applyFont="1" applyFill="1" applyBorder="1" applyAlignment="1">
      <alignment horizontal="left" vertical="center" wrapText="1"/>
    </xf>
    <xf numFmtId="184" fontId="31" fillId="25" borderId="17" xfId="0" applyNumberFormat="1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left" vertical="center" wrapText="1"/>
    </xf>
    <xf numFmtId="184" fontId="31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31" fillId="25" borderId="10" xfId="0" applyNumberFormat="1" applyFont="1" applyFill="1" applyBorder="1" applyAlignment="1">
      <alignment horizontal="left" vertical="center" wrapText="1"/>
    </xf>
    <xf numFmtId="0" fontId="22" fillId="25" borderId="14" xfId="53" applyFont="1" applyFill="1" applyBorder="1" applyAlignment="1">
      <alignment horizontal="center" vertical="center" wrapText="1"/>
      <protection/>
    </xf>
    <xf numFmtId="49" fontId="32" fillId="25" borderId="10" xfId="0" applyNumberFormat="1" applyFont="1" applyFill="1" applyBorder="1" applyAlignment="1">
      <alignment horizontal="left" vertical="center" wrapText="1"/>
    </xf>
    <xf numFmtId="0" fontId="23" fillId="25" borderId="14" xfId="53" applyFont="1" applyFill="1" applyBorder="1" applyAlignment="1">
      <alignment horizontal="left" vertical="center" wrapText="1"/>
      <protection/>
    </xf>
    <xf numFmtId="49" fontId="22" fillId="25" borderId="10" xfId="0" applyNumberFormat="1" applyFont="1" applyFill="1" applyBorder="1" applyAlignment="1">
      <alignment horizontal="left" vertical="center" wrapText="1"/>
    </xf>
    <xf numFmtId="0" fontId="22" fillId="25" borderId="10" xfId="0" applyNumberFormat="1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horizontal="left" vertical="center" wrapText="1"/>
    </xf>
    <xf numFmtId="4" fontId="23" fillId="25" borderId="16" xfId="0" applyNumberFormat="1" applyFont="1" applyFill="1" applyBorder="1" applyAlignment="1">
      <alignment horizontal="left" vertical="center" wrapText="1"/>
    </xf>
    <xf numFmtId="0" fontId="23" fillId="25" borderId="18" xfId="53" applyFont="1" applyFill="1" applyBorder="1" applyAlignment="1">
      <alignment horizontal="center" vertical="center" wrapText="1"/>
      <protection/>
    </xf>
    <xf numFmtId="49" fontId="23" fillId="25" borderId="14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left" vertical="top" wrapText="1"/>
    </xf>
    <xf numFmtId="0" fontId="22" fillId="25" borderId="10" xfId="0" applyNumberFormat="1" applyFont="1" applyFill="1" applyBorder="1" applyAlignment="1">
      <alignment vertical="center" wrapText="1"/>
    </xf>
    <xf numFmtId="0" fontId="35" fillId="25" borderId="10" xfId="0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1" fillId="25" borderId="16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32" fillId="25" borderId="14" xfId="0" applyNumberFormat="1" applyFont="1" applyFill="1" applyBorder="1" applyAlignment="1">
      <alignment horizontal="left" vertical="center" wrapText="1"/>
    </xf>
    <xf numFmtId="0" fontId="22" fillId="25" borderId="16" xfId="53" applyFont="1" applyFill="1" applyBorder="1" applyAlignment="1">
      <alignment horizontal="center" vertical="center" wrapText="1"/>
      <protection/>
    </xf>
    <xf numFmtId="4" fontId="22" fillId="25" borderId="10" xfId="0" applyNumberFormat="1" applyFont="1" applyFill="1" applyBorder="1" applyAlignment="1">
      <alignment vertical="center" wrapText="1"/>
    </xf>
    <xf numFmtId="49" fontId="32" fillId="25" borderId="16" xfId="0" applyNumberFormat="1" applyFont="1" applyFill="1" applyBorder="1" applyAlignment="1">
      <alignment horizontal="left" vertical="center" wrapText="1"/>
    </xf>
    <xf numFmtId="49" fontId="31" fillId="25" borderId="16" xfId="0" applyNumberFormat="1" applyFont="1" applyFill="1" applyBorder="1" applyAlignment="1">
      <alignment horizontal="left" vertical="center" wrapText="1"/>
    </xf>
    <xf numFmtId="49" fontId="31" fillId="25" borderId="10" xfId="52" applyNumberFormat="1" applyFont="1" applyFill="1" applyBorder="1" applyAlignment="1">
      <alignment horizontal="center" vertical="center" wrapText="1"/>
    </xf>
    <xf numFmtId="0" fontId="23" fillId="25" borderId="19" xfId="53" applyFont="1" applyFill="1" applyBorder="1" applyAlignment="1">
      <alignment wrapText="1"/>
      <protection/>
    </xf>
    <xf numFmtId="0" fontId="22" fillId="25" borderId="10" xfId="53" applyFont="1" applyFill="1" applyBorder="1" applyAlignment="1">
      <alignment wrapText="1"/>
      <protection/>
    </xf>
    <xf numFmtId="0" fontId="23" fillId="25" borderId="0" xfId="53" applyFont="1" applyFill="1" applyAlignment="1">
      <alignment wrapText="1"/>
      <protection/>
    </xf>
    <xf numFmtId="0" fontId="22" fillId="25" borderId="16" xfId="53" applyFont="1" applyFill="1" applyBorder="1" applyAlignment="1">
      <alignment vertical="center" wrapText="1"/>
      <protection/>
    </xf>
    <xf numFmtId="180" fontId="32" fillId="25" borderId="10" xfId="0" applyNumberFormat="1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left" vertical="top" wrapText="1"/>
    </xf>
    <xf numFmtId="0" fontId="22" fillId="25" borderId="10" xfId="53" applyFont="1" applyFill="1" applyBorder="1" applyAlignment="1">
      <alignment vertical="center" wrapText="1"/>
      <protection/>
    </xf>
    <xf numFmtId="49" fontId="31" fillId="25" borderId="10" xfId="0" applyNumberFormat="1" applyFont="1" applyFill="1" applyBorder="1" applyAlignment="1">
      <alignment vertical="center" wrapText="1"/>
    </xf>
    <xf numFmtId="0" fontId="23" fillId="25" borderId="18" xfId="53" applyFont="1" applyFill="1" applyBorder="1" applyAlignment="1">
      <alignment horizontal="left" vertical="center" wrapText="1"/>
      <protection/>
    </xf>
    <xf numFmtId="0" fontId="23" fillId="25" borderId="17" xfId="53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left" vertical="top" wrapText="1"/>
    </xf>
    <xf numFmtId="0" fontId="22" fillId="25" borderId="10" xfId="0" applyFont="1" applyFill="1" applyBorder="1" applyAlignment="1">
      <alignment vertical="center" wrapText="1"/>
    </xf>
    <xf numFmtId="180" fontId="31" fillId="25" borderId="14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 wrapText="1"/>
    </xf>
    <xf numFmtId="180" fontId="31" fillId="25" borderId="10" xfId="0" applyNumberFormat="1" applyFont="1" applyFill="1" applyBorder="1" applyAlignment="1">
      <alignment horizontal="center" vertical="center" wrapText="1"/>
    </xf>
    <xf numFmtId="190" fontId="23" fillId="25" borderId="10" xfId="53" applyNumberFormat="1" applyFont="1" applyFill="1" applyBorder="1" applyAlignment="1">
      <alignment horizontal="center" textRotation="255" wrapText="1"/>
      <protection/>
    </xf>
    <xf numFmtId="190" fontId="23" fillId="25" borderId="10" xfId="53" applyNumberFormat="1" applyFont="1" applyFill="1" applyBorder="1" applyAlignment="1">
      <alignment horizontal="center" vertical="center" wrapText="1"/>
      <protection/>
    </xf>
    <xf numFmtId="180" fontId="23" fillId="25" borderId="10" xfId="53" applyNumberFormat="1" applyFont="1" applyFill="1" applyBorder="1" applyAlignment="1">
      <alignment horizontal="center" vertical="center" wrapText="1"/>
      <protection/>
    </xf>
    <xf numFmtId="180" fontId="22" fillId="25" borderId="16" xfId="53" applyNumberFormat="1" applyFont="1" applyFill="1" applyBorder="1" applyAlignment="1">
      <alignment horizontal="center" vertical="center" wrapText="1"/>
      <protection/>
    </xf>
    <xf numFmtId="180" fontId="23" fillId="25" borderId="16" xfId="53" applyNumberFormat="1" applyFont="1" applyFill="1" applyBorder="1" applyAlignment="1">
      <alignment horizontal="center" vertical="center" wrapText="1"/>
      <protection/>
    </xf>
    <xf numFmtId="180" fontId="22" fillId="25" borderId="10" xfId="53" applyNumberFormat="1" applyFont="1" applyFill="1" applyBorder="1" applyAlignment="1">
      <alignment horizontal="center" vertical="center" wrapText="1"/>
      <protection/>
    </xf>
    <xf numFmtId="189" fontId="22" fillId="25" borderId="10" xfId="53" applyNumberFormat="1" applyFont="1" applyFill="1" applyBorder="1" applyAlignment="1">
      <alignment horizontal="center" vertical="center" wrapText="1"/>
      <protection/>
    </xf>
    <xf numFmtId="189" fontId="23" fillId="25" borderId="10" xfId="53" applyNumberFormat="1" applyFont="1" applyFill="1" applyBorder="1" applyAlignment="1">
      <alignment horizontal="center" vertical="center" wrapText="1"/>
      <protection/>
    </xf>
    <xf numFmtId="184" fontId="23" fillId="25" borderId="14" xfId="53" applyNumberFormat="1" applyFont="1" applyFill="1" applyBorder="1" applyAlignment="1">
      <alignment horizontal="center" vertical="center" wrapText="1"/>
      <protection/>
    </xf>
    <xf numFmtId="180" fontId="31" fillId="25" borderId="14" xfId="52" applyNumberFormat="1" applyFont="1" applyFill="1" applyBorder="1" applyAlignment="1">
      <alignment horizontal="center" vertical="center" wrapText="1"/>
    </xf>
    <xf numFmtId="180" fontId="22" fillId="25" borderId="20" xfId="0" applyNumberFormat="1" applyFont="1" applyFill="1" applyBorder="1" applyAlignment="1">
      <alignment horizontal="center" vertical="center" wrapText="1"/>
    </xf>
    <xf numFmtId="180" fontId="23" fillId="25" borderId="20" xfId="0" applyNumberFormat="1" applyFont="1" applyFill="1" applyBorder="1" applyAlignment="1">
      <alignment horizontal="center" vertical="center" wrapText="1"/>
    </xf>
    <xf numFmtId="180" fontId="31" fillId="25" borderId="16" xfId="0" applyNumberFormat="1" applyFont="1" applyFill="1" applyBorder="1" applyAlignment="1">
      <alignment horizontal="center" vertical="center" wrapText="1"/>
    </xf>
    <xf numFmtId="180" fontId="32" fillId="25" borderId="16" xfId="0" applyNumberFormat="1" applyFont="1" applyFill="1" applyBorder="1" applyAlignment="1">
      <alignment horizontal="center" vertical="center" wrapText="1"/>
    </xf>
    <xf numFmtId="0" fontId="23" fillId="25" borderId="18" xfId="53" applyFont="1" applyFill="1" applyBorder="1" applyAlignment="1">
      <alignment textRotation="255" wrapText="1"/>
      <protection/>
    </xf>
    <xf numFmtId="180" fontId="32" fillId="25" borderId="14" xfId="52" applyNumberFormat="1" applyFont="1" applyFill="1" applyBorder="1" applyAlignment="1">
      <alignment horizontal="center" vertical="center" wrapText="1"/>
    </xf>
    <xf numFmtId="180" fontId="23" fillId="25" borderId="18" xfId="53" applyNumberFormat="1" applyFont="1" applyFill="1" applyBorder="1" applyAlignment="1">
      <alignment horizontal="center" vertical="center" wrapText="1"/>
      <protection/>
    </xf>
    <xf numFmtId="49" fontId="22" fillId="24" borderId="21" xfId="54" applyNumberFormat="1" applyFont="1" applyFill="1" applyBorder="1" applyAlignment="1">
      <alignment vertical="center" wrapText="1"/>
      <protection/>
    </xf>
    <xf numFmtId="49" fontId="22" fillId="24" borderId="17" xfId="54" applyNumberFormat="1" applyFont="1" applyFill="1" applyBorder="1" applyAlignment="1">
      <alignment vertical="center" wrapText="1"/>
      <protection/>
    </xf>
    <xf numFmtId="49" fontId="22" fillId="24" borderId="0" xfId="54" applyNumberFormat="1" applyFont="1" applyFill="1" applyBorder="1" applyAlignment="1">
      <alignment vertical="center" wrapText="1"/>
      <protection/>
    </xf>
    <xf numFmtId="49" fontId="22" fillId="24" borderId="22" xfId="54" applyNumberFormat="1" applyFont="1" applyFill="1" applyBorder="1" applyAlignment="1">
      <alignment vertical="center" wrapText="1"/>
      <protection/>
    </xf>
    <xf numFmtId="49" fontId="22" fillId="24" borderId="20" xfId="54" applyNumberFormat="1" applyFont="1" applyFill="1" applyBorder="1" applyAlignment="1">
      <alignment vertical="center" wrapText="1"/>
      <protection/>
    </xf>
    <xf numFmtId="181" fontId="23" fillId="25" borderId="19" xfId="53" applyNumberFormat="1" applyFont="1" applyFill="1" applyBorder="1" applyAlignment="1">
      <alignment horizontal="center" vertical="center" wrapText="1"/>
      <protection/>
    </xf>
    <xf numFmtId="181" fontId="31" fillId="25" borderId="10" xfId="0" applyNumberFormat="1" applyFont="1" applyFill="1" applyBorder="1" applyAlignment="1">
      <alignment horizontal="center" vertical="center" wrapText="1"/>
    </xf>
    <xf numFmtId="181" fontId="22" fillId="25" borderId="19" xfId="53" applyNumberFormat="1" applyFont="1" applyFill="1" applyBorder="1" applyAlignment="1">
      <alignment horizontal="center" vertical="center" wrapText="1"/>
      <protection/>
    </xf>
    <xf numFmtId="181" fontId="32" fillId="25" borderId="10" xfId="0" applyNumberFormat="1" applyFont="1" applyFill="1" applyBorder="1" applyAlignment="1">
      <alignment horizontal="center" vertical="center" wrapText="1"/>
    </xf>
    <xf numFmtId="181" fontId="31" fillId="25" borderId="19" xfId="0" applyNumberFormat="1" applyFont="1" applyFill="1" applyBorder="1" applyAlignment="1">
      <alignment horizontal="center" vertical="center" wrapText="1"/>
    </xf>
    <xf numFmtId="181" fontId="32" fillId="25" borderId="19" xfId="0" applyNumberFormat="1" applyFont="1" applyFill="1" applyBorder="1" applyAlignment="1">
      <alignment horizontal="center" vertical="center" wrapText="1"/>
    </xf>
    <xf numFmtId="181" fontId="31" fillId="25" borderId="14" xfId="52" applyNumberFormat="1" applyFont="1" applyFill="1" applyBorder="1" applyAlignment="1">
      <alignment horizontal="center" vertical="center" wrapText="1"/>
    </xf>
    <xf numFmtId="181" fontId="32" fillId="25" borderId="19" xfId="52" applyNumberFormat="1" applyFont="1" applyFill="1" applyBorder="1" applyAlignment="1">
      <alignment horizontal="center" vertical="center" wrapText="1"/>
    </xf>
    <xf numFmtId="181" fontId="22" fillId="25" borderId="20" xfId="53" applyNumberFormat="1" applyFont="1" applyFill="1" applyBorder="1" applyAlignment="1">
      <alignment horizontal="center" vertical="center" wrapText="1"/>
      <protection/>
    </xf>
    <xf numFmtId="181" fontId="22" fillId="25" borderId="20" xfId="0" applyNumberFormat="1" applyFont="1" applyFill="1" applyBorder="1" applyAlignment="1">
      <alignment horizontal="center" vertical="center" wrapText="1"/>
    </xf>
    <xf numFmtId="181" fontId="23" fillId="25" borderId="20" xfId="53" applyNumberFormat="1" applyFont="1" applyFill="1" applyBorder="1" applyAlignment="1">
      <alignment horizontal="center" vertical="center" wrapText="1"/>
      <protection/>
    </xf>
    <xf numFmtId="181" fontId="23" fillId="25" borderId="16" xfId="53" applyNumberFormat="1" applyFont="1" applyFill="1" applyBorder="1" applyAlignment="1">
      <alignment horizontal="center" vertical="center" wrapText="1"/>
      <protection/>
    </xf>
    <xf numFmtId="181" fontId="31" fillId="25" borderId="16" xfId="0" applyNumberFormat="1" applyFont="1" applyFill="1" applyBorder="1" applyAlignment="1">
      <alignment horizontal="center" vertical="center" wrapText="1"/>
    </xf>
    <xf numFmtId="181" fontId="32" fillId="25" borderId="16" xfId="0" applyNumberFormat="1" applyFont="1" applyFill="1" applyBorder="1" applyAlignment="1">
      <alignment horizontal="center" vertical="center" wrapText="1"/>
    </xf>
    <xf numFmtId="181" fontId="22" fillId="25" borderId="16" xfId="53" applyNumberFormat="1" applyFont="1" applyFill="1" applyBorder="1" applyAlignment="1">
      <alignment horizontal="center" vertical="center" wrapText="1"/>
      <protection/>
    </xf>
    <xf numFmtId="181" fontId="22" fillId="0" borderId="10" xfId="53" applyNumberFormat="1" applyFont="1" applyFill="1" applyBorder="1" applyAlignment="1">
      <alignment horizontal="center" vertical="center" wrapText="1"/>
      <protection/>
    </xf>
    <xf numFmtId="181" fontId="22" fillId="25" borderId="16" xfId="53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vertical="center" wrapText="1"/>
    </xf>
    <xf numFmtId="1" fontId="22" fillId="25" borderId="10" xfId="54" applyNumberFormat="1" applyFont="1" applyFill="1" applyBorder="1" applyAlignment="1">
      <alignment horizontal="center" vertical="center" wrapText="1"/>
      <protection/>
    </xf>
    <xf numFmtId="1" fontId="23" fillId="25" borderId="10" xfId="54" applyNumberFormat="1" applyFont="1" applyFill="1" applyBorder="1" applyAlignment="1">
      <alignment horizontal="center" vertical="center" wrapText="1"/>
      <protection/>
    </xf>
    <xf numFmtId="180" fontId="28" fillId="24" borderId="19" xfId="0" applyNumberFormat="1" applyFont="1" applyFill="1" applyBorder="1" applyAlignment="1">
      <alignment vertical="center" wrapText="1"/>
    </xf>
    <xf numFmtId="1" fontId="23" fillId="25" borderId="15" xfId="54" applyNumberFormat="1" applyFont="1" applyFill="1" applyBorder="1" applyAlignment="1">
      <alignment horizontal="center" vertical="center" wrapText="1"/>
      <protection/>
    </xf>
    <xf numFmtId="181" fontId="33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181" fontId="33" fillId="0" borderId="10" xfId="0" applyNumberFormat="1" applyFont="1" applyFill="1" applyBorder="1" applyAlignment="1">
      <alignment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vertical="center" wrapText="1"/>
    </xf>
    <xf numFmtId="181" fontId="0" fillId="0" borderId="0" xfId="0" applyNumberFormat="1" applyFont="1" applyAlignment="1">
      <alignment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80" fontId="22" fillId="25" borderId="16" xfId="53" applyNumberFormat="1" applyFont="1" applyFill="1" applyBorder="1" applyAlignment="1">
      <alignment horizontal="center" vertical="center" wrapText="1"/>
      <protection/>
    </xf>
    <xf numFmtId="181" fontId="22" fillId="25" borderId="16" xfId="53" applyNumberFormat="1" applyFont="1" applyFill="1" applyBorder="1" applyAlignment="1">
      <alignment horizontal="center" vertical="center" wrapText="1"/>
      <protection/>
    </xf>
    <xf numFmtId="180" fontId="22" fillId="0" borderId="16" xfId="53" applyNumberFormat="1" applyFont="1" applyFill="1" applyBorder="1" applyAlignment="1">
      <alignment horizontal="center" vertical="center" wrapText="1"/>
      <protection/>
    </xf>
    <xf numFmtId="14" fontId="22" fillId="25" borderId="14" xfId="53" applyNumberFormat="1" applyFont="1" applyFill="1" applyBorder="1" applyAlignment="1">
      <alignment vertical="center"/>
      <protection/>
    </xf>
    <xf numFmtId="14" fontId="22" fillId="25" borderId="18" xfId="53" applyNumberFormat="1" applyFont="1" applyFill="1" applyBorder="1" applyAlignment="1">
      <alignment vertical="center"/>
      <protection/>
    </xf>
    <xf numFmtId="49" fontId="22" fillId="25" borderId="23" xfId="0" applyNumberFormat="1" applyFont="1" applyFill="1" applyBorder="1" applyAlignment="1">
      <alignment horizontal="center" vertical="center" wrapText="1"/>
    </xf>
    <xf numFmtId="190" fontId="32" fillId="26" borderId="1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90" fontId="22" fillId="26" borderId="10" xfId="53" applyNumberFormat="1" applyFont="1" applyFill="1" applyBorder="1" applyAlignment="1">
      <alignment horizontal="center" vertical="center" wrapText="1"/>
      <protection/>
    </xf>
    <xf numFmtId="190" fontId="31" fillId="26" borderId="13" xfId="0" applyNumberFormat="1" applyFont="1" applyFill="1" applyBorder="1" applyAlignment="1">
      <alignment vertical="center" wrapText="1"/>
    </xf>
    <xf numFmtId="190" fontId="32" fillId="26" borderId="19" xfId="0" applyNumberFormat="1" applyFont="1" applyFill="1" applyBorder="1" applyAlignment="1">
      <alignment vertical="center" wrapText="1"/>
    </xf>
    <xf numFmtId="190" fontId="31" fillId="26" borderId="19" xfId="0" applyNumberFormat="1" applyFont="1" applyFill="1" applyBorder="1" applyAlignment="1">
      <alignment vertical="center" wrapText="1"/>
    </xf>
    <xf numFmtId="190" fontId="22" fillId="25" borderId="10" xfId="53" applyNumberFormat="1" applyFont="1" applyFill="1" applyBorder="1" applyAlignment="1">
      <alignment horizontal="center" vertical="center" wrapText="1"/>
      <protection/>
    </xf>
    <xf numFmtId="190" fontId="23" fillId="26" borderId="10" xfId="53" applyNumberFormat="1" applyFont="1" applyFill="1" applyBorder="1" applyAlignment="1">
      <alignment horizontal="center" vertical="center" wrapText="1"/>
      <protection/>
    </xf>
    <xf numFmtId="181" fontId="22" fillId="25" borderId="24" xfId="53" applyNumberFormat="1" applyFont="1" applyFill="1" applyBorder="1" applyAlignment="1">
      <alignment horizontal="center" vertical="center" wrapText="1"/>
      <protection/>
    </xf>
    <xf numFmtId="181" fontId="23" fillId="26" borderId="25" xfId="53" applyNumberFormat="1" applyFont="1" applyFill="1" applyBorder="1" applyAlignment="1">
      <alignment horizontal="center" vertical="center" wrapText="1"/>
      <protection/>
    </xf>
    <xf numFmtId="181" fontId="22" fillId="26" borderId="20" xfId="53" applyNumberFormat="1" applyFont="1" applyFill="1" applyBorder="1" applyAlignment="1">
      <alignment horizontal="center" vertical="center" wrapText="1"/>
      <protection/>
    </xf>
    <xf numFmtId="181" fontId="23" fillId="26" borderId="15" xfId="53" applyNumberFormat="1" applyFont="1" applyFill="1" applyBorder="1" applyAlignment="1">
      <alignment horizontal="center" vertical="center" wrapText="1"/>
      <protection/>
    </xf>
    <xf numFmtId="181" fontId="22" fillId="26" borderId="26" xfId="53" applyNumberFormat="1" applyFont="1" applyFill="1" applyBorder="1" applyAlignment="1">
      <alignment horizontal="center" vertical="center" wrapText="1"/>
      <protection/>
    </xf>
    <xf numFmtId="181" fontId="23" fillId="26" borderId="17" xfId="53" applyNumberFormat="1" applyFont="1" applyFill="1" applyBorder="1" applyAlignment="1">
      <alignment horizontal="center" vertical="center" wrapText="1"/>
      <protection/>
    </xf>
    <xf numFmtId="181" fontId="23" fillId="26" borderId="10" xfId="53" applyNumberFormat="1" applyFont="1" applyFill="1" applyBorder="1" applyAlignment="1">
      <alignment horizontal="center" vertical="center" wrapText="1"/>
      <protection/>
    </xf>
    <xf numFmtId="190" fontId="31" fillId="25" borderId="27" xfId="0" applyNumberFormat="1" applyFont="1" applyFill="1" applyBorder="1" applyAlignment="1">
      <alignment vertical="center" wrapText="1"/>
    </xf>
    <xf numFmtId="190" fontId="32" fillId="26" borderId="28" xfId="0" applyNumberFormat="1" applyFont="1" applyFill="1" applyBorder="1" applyAlignment="1">
      <alignment vertical="center" wrapText="1"/>
    </xf>
    <xf numFmtId="190" fontId="31" fillId="26" borderId="0" xfId="0" applyNumberFormat="1" applyFont="1" applyFill="1" applyBorder="1" applyAlignment="1">
      <alignment vertical="center" wrapText="1"/>
    </xf>
    <xf numFmtId="190" fontId="32" fillId="26" borderId="21" xfId="0" applyNumberFormat="1" applyFont="1" applyFill="1" applyBorder="1" applyAlignment="1">
      <alignment vertical="center" wrapText="1"/>
    </xf>
    <xf numFmtId="0" fontId="0" fillId="27" borderId="0" xfId="0" applyFont="1" applyFill="1" applyAlignment="1">
      <alignment/>
    </xf>
    <xf numFmtId="181" fontId="0" fillId="27" borderId="0" xfId="0" applyNumberFormat="1" applyFont="1" applyFill="1" applyAlignment="1">
      <alignment/>
    </xf>
    <xf numFmtId="181" fontId="22" fillId="25" borderId="16" xfId="53" applyNumberFormat="1" applyFont="1" applyFill="1" applyBorder="1" applyAlignment="1">
      <alignment horizontal="center" vertical="center" wrapText="1"/>
      <protection/>
    </xf>
    <xf numFmtId="180" fontId="22" fillId="25" borderId="14" xfId="53" applyNumberFormat="1" applyFont="1" applyFill="1" applyBorder="1" applyAlignment="1">
      <alignment horizontal="center" vertical="center" wrapText="1"/>
      <protection/>
    </xf>
    <xf numFmtId="0" fontId="23" fillId="25" borderId="14" xfId="53" applyFont="1" applyFill="1" applyBorder="1" applyAlignment="1">
      <alignment horizontal="center" vertical="center" wrapText="1"/>
      <protection/>
    </xf>
    <xf numFmtId="181" fontId="22" fillId="25" borderId="14" xfId="53" applyNumberFormat="1" applyFont="1" applyFill="1" applyBorder="1" applyAlignment="1">
      <alignment horizontal="center" vertical="center" wrapText="1"/>
      <protection/>
    </xf>
    <xf numFmtId="181" fontId="22" fillId="25" borderId="16" xfId="53" applyNumberFormat="1" applyFont="1" applyFill="1" applyBorder="1" applyAlignment="1">
      <alignment horizontal="center" vertical="center" wrapText="1"/>
      <protection/>
    </xf>
    <xf numFmtId="190" fontId="32" fillId="25" borderId="10" xfId="0" applyNumberFormat="1" applyFont="1" applyFill="1" applyBorder="1" applyAlignment="1">
      <alignment horizontal="center" vertical="center" wrapText="1"/>
    </xf>
    <xf numFmtId="190" fontId="32" fillId="25" borderId="16" xfId="0" applyNumberFormat="1" applyFont="1" applyFill="1" applyBorder="1" applyAlignment="1">
      <alignment horizontal="center" vertical="center" wrapText="1"/>
    </xf>
    <xf numFmtId="180" fontId="28" fillId="24" borderId="14" xfId="0" applyNumberFormat="1" applyFont="1" applyFill="1" applyBorder="1" applyAlignment="1">
      <alignment horizontal="center" vertical="center" wrapText="1"/>
    </xf>
    <xf numFmtId="180" fontId="28" fillId="24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0" fontId="28" fillId="24" borderId="18" xfId="0" applyNumberFormat="1" applyFont="1" applyFill="1" applyBorder="1" applyAlignment="1">
      <alignment horizontal="center" vertical="center" wrapText="1"/>
    </xf>
    <xf numFmtId="0" fontId="23" fillId="25" borderId="14" xfId="53" applyFont="1" applyFill="1" applyBorder="1" applyAlignment="1">
      <alignment horizontal="center" textRotation="255" wrapText="1"/>
      <protection/>
    </xf>
    <xf numFmtId="0" fontId="23" fillId="25" borderId="18" xfId="53" applyFont="1" applyFill="1" applyBorder="1" applyAlignment="1">
      <alignment horizontal="center" textRotation="255" wrapText="1"/>
      <protection/>
    </xf>
    <xf numFmtId="0" fontId="23" fillId="25" borderId="16" xfId="53" applyFont="1" applyFill="1" applyBorder="1" applyAlignment="1">
      <alignment horizontal="center" textRotation="255" wrapText="1"/>
      <protection/>
    </xf>
    <xf numFmtId="180" fontId="28" fillId="24" borderId="19" xfId="0" applyNumberFormat="1" applyFont="1" applyFill="1" applyBorder="1" applyAlignment="1">
      <alignment horizontal="center" vertical="center" wrapText="1"/>
    </xf>
    <xf numFmtId="180" fontId="28" fillId="24" borderId="15" xfId="0" applyNumberFormat="1" applyFont="1" applyFill="1" applyBorder="1" applyAlignment="1">
      <alignment horizontal="center" vertical="center" wrapText="1"/>
    </xf>
    <xf numFmtId="1" fontId="23" fillId="24" borderId="19" xfId="54" applyNumberFormat="1" applyFont="1" applyFill="1" applyBorder="1" applyAlignment="1">
      <alignment horizontal="left" vertical="center" wrapText="1"/>
      <protection/>
    </xf>
    <xf numFmtId="1" fontId="23" fillId="24" borderId="29" xfId="54" applyNumberFormat="1" applyFont="1" applyFill="1" applyBorder="1" applyAlignment="1">
      <alignment horizontal="left" vertical="center" wrapText="1"/>
      <protection/>
    </xf>
    <xf numFmtId="1" fontId="23" fillId="24" borderId="15" xfId="54" applyNumberFormat="1" applyFont="1" applyFill="1" applyBorder="1" applyAlignment="1">
      <alignment horizontal="left" vertical="center" wrapText="1"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" fontId="23" fillId="24" borderId="19" xfId="54" applyNumberFormat="1" applyFont="1" applyFill="1" applyBorder="1" applyAlignment="1">
      <alignment horizontal="center" vertical="center" wrapText="1"/>
      <protection/>
    </xf>
    <xf numFmtId="1" fontId="23" fillId="24" borderId="29" xfId="54" applyNumberFormat="1" applyFont="1" applyFill="1" applyBorder="1" applyAlignment="1">
      <alignment horizontal="center" vertical="center" wrapText="1"/>
      <protection/>
    </xf>
    <xf numFmtId="1" fontId="23" fillId="25" borderId="15" xfId="54" applyNumberFormat="1" applyFont="1" applyFill="1" applyBorder="1" applyAlignment="1">
      <alignment horizontal="center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180" fontId="28" fillId="24" borderId="19" xfId="0" applyNumberFormat="1" applyFont="1" applyFill="1" applyBorder="1" applyAlignment="1">
      <alignment horizontal="left" vertical="center" wrapText="1"/>
    </xf>
    <xf numFmtId="180" fontId="28" fillId="24" borderId="15" xfId="0" applyNumberFormat="1" applyFont="1" applyFill="1" applyBorder="1" applyAlignment="1">
      <alignment horizontal="left" vertical="center" wrapText="1"/>
    </xf>
    <xf numFmtId="0" fontId="22" fillId="25" borderId="14" xfId="53" applyFont="1" applyFill="1" applyBorder="1" applyAlignment="1">
      <alignment horizontal="center" vertical="center" wrapText="1"/>
      <protection/>
    </xf>
    <xf numFmtId="0" fontId="22" fillId="25" borderId="18" xfId="53" applyFont="1" applyFill="1" applyBorder="1" applyAlignment="1">
      <alignment horizontal="center" vertical="center" wrapText="1"/>
      <protection/>
    </xf>
    <xf numFmtId="0" fontId="22" fillId="25" borderId="16" xfId="53" applyFont="1" applyFill="1" applyBorder="1" applyAlignment="1">
      <alignment horizontal="center" vertical="center" wrapText="1"/>
      <protection/>
    </xf>
    <xf numFmtId="0" fontId="27" fillId="24" borderId="0" xfId="54" applyFont="1" applyFill="1" applyBorder="1" applyAlignment="1">
      <alignment horizontal="center" vertical="center" wrapText="1"/>
      <protection/>
    </xf>
    <xf numFmtId="0" fontId="29" fillId="24" borderId="0" xfId="54" applyFont="1" applyFill="1" applyAlignment="1">
      <alignment horizontal="center" vertical="center" wrapText="1"/>
      <protection/>
    </xf>
    <xf numFmtId="49" fontId="22" fillId="24" borderId="14" xfId="54" applyNumberFormat="1" applyFont="1" applyFill="1" applyBorder="1" applyAlignment="1">
      <alignment horizontal="center" vertical="center" wrapText="1"/>
      <protection/>
    </xf>
    <xf numFmtId="49" fontId="22" fillId="24" borderId="18" xfId="54" applyNumberFormat="1" applyFont="1" applyFill="1" applyBorder="1" applyAlignment="1">
      <alignment horizontal="center" vertical="center" wrapText="1"/>
      <protection/>
    </xf>
    <xf numFmtId="49" fontId="22" fillId="24" borderId="16" xfId="54" applyNumberFormat="1" applyFont="1" applyFill="1" applyBorder="1" applyAlignment="1">
      <alignment horizontal="center" vertical="center" wrapText="1"/>
      <protection/>
    </xf>
    <xf numFmtId="49" fontId="22" fillId="24" borderId="21" xfId="54" applyNumberFormat="1" applyFont="1" applyFill="1" applyBorder="1" applyAlignment="1">
      <alignment horizontal="center" vertical="center" wrapText="1"/>
      <protection/>
    </xf>
    <xf numFmtId="49" fontId="22" fillId="24" borderId="17" xfId="54" applyNumberFormat="1" applyFont="1" applyFill="1" applyBorder="1" applyAlignment="1">
      <alignment horizontal="center" vertical="center" wrapText="1"/>
      <protection/>
    </xf>
    <xf numFmtId="49" fontId="22" fillId="24" borderId="23" xfId="54" applyNumberFormat="1" applyFont="1" applyFill="1" applyBorder="1" applyAlignment="1">
      <alignment horizontal="center" vertical="center" wrapText="1"/>
      <protection/>
    </xf>
    <xf numFmtId="49" fontId="22" fillId="24" borderId="20" xfId="54" applyNumberFormat="1" applyFont="1" applyFill="1" applyBorder="1" applyAlignment="1">
      <alignment horizontal="center" vertical="center" wrapText="1"/>
      <protection/>
    </xf>
    <xf numFmtId="1" fontId="22" fillId="24" borderId="14" xfId="54" applyNumberFormat="1" applyFont="1" applyFill="1" applyBorder="1" applyAlignment="1">
      <alignment horizontal="center" vertical="center" wrapText="1"/>
      <protection/>
    </xf>
    <xf numFmtId="1" fontId="22" fillId="24" borderId="18" xfId="54" applyNumberFormat="1" applyFont="1" applyFill="1" applyBorder="1" applyAlignment="1">
      <alignment horizontal="center" vertical="center" wrapText="1"/>
      <protection/>
    </xf>
    <xf numFmtId="1" fontId="22" fillId="24" borderId="16" xfId="54" applyNumberFormat="1" applyFont="1" applyFill="1" applyBorder="1" applyAlignment="1">
      <alignment horizontal="center" vertical="center" wrapText="1"/>
      <protection/>
    </xf>
    <xf numFmtId="180" fontId="28" fillId="24" borderId="13" xfId="0" applyNumberFormat="1" applyFont="1" applyFill="1" applyBorder="1" applyAlignment="1">
      <alignment horizontal="left" vertical="center" wrapText="1"/>
    </xf>
    <xf numFmtId="180" fontId="28" fillId="24" borderId="23" xfId="0" applyNumberFormat="1" applyFont="1" applyFill="1" applyBorder="1" applyAlignment="1">
      <alignment horizontal="left" vertical="center" wrapText="1"/>
    </xf>
    <xf numFmtId="180" fontId="28" fillId="24" borderId="20" xfId="0" applyNumberFormat="1" applyFont="1" applyFill="1" applyBorder="1" applyAlignment="1">
      <alignment horizontal="left" vertical="center" wrapText="1"/>
    </xf>
    <xf numFmtId="180" fontId="22" fillId="25" borderId="14" xfId="53" applyNumberFormat="1" applyFont="1" applyFill="1" applyBorder="1" applyAlignment="1">
      <alignment horizontal="center" vertical="center" wrapText="1"/>
      <protection/>
    </xf>
    <xf numFmtId="180" fontId="22" fillId="25" borderId="16" xfId="53" applyNumberFormat="1" applyFont="1" applyFill="1" applyBorder="1" applyAlignment="1">
      <alignment horizontal="center" vertical="center" wrapText="1"/>
      <protection/>
    </xf>
    <xf numFmtId="0" fontId="35" fillId="25" borderId="14" xfId="0" applyFont="1" applyFill="1" applyBorder="1" applyAlignment="1">
      <alignment horizontal="left" vertical="top" wrapText="1"/>
    </xf>
    <xf numFmtId="0" fontId="35" fillId="25" borderId="16" xfId="0" applyFont="1" applyFill="1" applyBorder="1" applyAlignment="1">
      <alignment horizontal="left" vertical="top" wrapText="1"/>
    </xf>
    <xf numFmtId="49" fontId="31" fillId="25" borderId="17" xfId="52" applyNumberFormat="1" applyFont="1" applyFill="1" applyBorder="1" applyAlignment="1">
      <alignment horizontal="center" vertical="center" wrapText="1"/>
    </xf>
    <xf numFmtId="49" fontId="31" fillId="25" borderId="22" xfId="52" applyNumberFormat="1" applyFont="1" applyFill="1" applyBorder="1" applyAlignment="1">
      <alignment horizontal="center" vertical="center" wrapText="1"/>
    </xf>
    <xf numFmtId="49" fontId="31" fillId="25" borderId="20" xfId="52" applyNumberFormat="1" applyFont="1" applyFill="1" applyBorder="1" applyAlignment="1">
      <alignment horizontal="center" vertical="center" wrapText="1"/>
    </xf>
    <xf numFmtId="0" fontId="22" fillId="25" borderId="17" xfId="53" applyFont="1" applyFill="1" applyBorder="1" applyAlignment="1">
      <alignment horizontal="center" vertical="center" wrapText="1"/>
      <protection/>
    </xf>
    <xf numFmtId="0" fontId="22" fillId="25" borderId="22" xfId="53" applyFont="1" applyFill="1" applyBorder="1" applyAlignment="1">
      <alignment horizontal="center" vertical="center" wrapText="1"/>
      <protection/>
    </xf>
    <xf numFmtId="0" fontId="22" fillId="25" borderId="20" xfId="53" applyFont="1" applyFill="1" applyBorder="1" applyAlignment="1">
      <alignment horizontal="center" vertical="center" wrapText="1"/>
      <protection/>
    </xf>
    <xf numFmtId="49" fontId="31" fillId="25" borderId="14" xfId="0" applyNumberFormat="1" applyFont="1" applyFill="1" applyBorder="1" applyAlignment="1">
      <alignment horizontal="center" vertical="center" wrapText="1"/>
    </xf>
    <xf numFmtId="49" fontId="31" fillId="25" borderId="18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wrapText="1"/>
    </xf>
    <xf numFmtId="180" fontId="31" fillId="25" borderId="17" xfId="0" applyNumberFormat="1" applyFont="1" applyFill="1" applyBorder="1" applyAlignment="1">
      <alignment horizontal="center" vertical="center" wrapText="1"/>
    </xf>
    <xf numFmtId="180" fontId="31" fillId="25" borderId="22" xfId="0" applyNumberFormat="1" applyFont="1" applyFill="1" applyBorder="1" applyAlignment="1">
      <alignment horizontal="center" vertical="center" wrapText="1"/>
    </xf>
    <xf numFmtId="0" fontId="23" fillId="25" borderId="14" xfId="53" applyFont="1" applyFill="1" applyBorder="1" applyAlignment="1">
      <alignment horizontal="center" vertical="center" wrapText="1"/>
      <protection/>
    </xf>
    <xf numFmtId="0" fontId="23" fillId="25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разец Сведения о ходе работ" xfId="53"/>
    <cellStyle name="Обычный_Ремонты за янв.ноябрь 20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PageLayoutView="0" workbookViewId="0" topLeftCell="A114">
      <selection activeCell="O138" sqref="O138"/>
    </sheetView>
  </sheetViews>
  <sheetFormatPr defaultColWidth="9.140625" defaultRowHeight="12.75"/>
  <cols>
    <col min="1" max="1" width="0.9921875" style="22" customWidth="1"/>
    <col min="2" max="2" width="13.140625" style="2" customWidth="1"/>
    <col min="3" max="3" width="41.8515625" style="3" customWidth="1"/>
    <col min="4" max="4" width="20.8515625" style="1" customWidth="1"/>
    <col min="5" max="5" width="10.140625" style="1" customWidth="1"/>
    <col min="6" max="6" width="12.57421875" style="1" hidden="1" customWidth="1"/>
    <col min="7" max="7" width="11.140625" style="1" hidden="1" customWidth="1"/>
    <col min="8" max="8" width="9.57421875" style="16" hidden="1" customWidth="1"/>
    <col min="9" max="9" width="9.140625" style="4" customWidth="1"/>
    <col min="10" max="10" width="11.00390625" style="17" customWidth="1"/>
    <col min="11" max="11" width="5.28125" style="22" hidden="1" customWidth="1"/>
    <col min="12" max="12" width="12.140625" style="22" hidden="1" customWidth="1"/>
    <col min="13" max="13" width="0" style="22" hidden="1" customWidth="1"/>
    <col min="14" max="16384" width="9.140625" style="22" customWidth="1"/>
  </cols>
  <sheetData>
    <row r="1" spans="2:10" ht="15">
      <c r="B1" s="5"/>
      <c r="C1" s="6"/>
      <c r="D1" s="6"/>
      <c r="E1" s="6"/>
      <c r="F1" s="6"/>
      <c r="G1" s="6"/>
      <c r="H1" s="15"/>
      <c r="I1" s="6"/>
      <c r="J1" s="20" t="s">
        <v>6</v>
      </c>
    </row>
    <row r="2" spans="2:10" ht="52.5" customHeight="1">
      <c r="B2" s="203" t="s">
        <v>205</v>
      </c>
      <c r="C2" s="203"/>
      <c r="D2" s="203"/>
      <c r="E2" s="203"/>
      <c r="F2" s="203"/>
      <c r="G2" s="203"/>
      <c r="H2" s="203"/>
      <c r="I2" s="203"/>
      <c r="J2" s="203"/>
    </row>
    <row r="3" spans="2:10" ht="44.25" customHeight="1">
      <c r="B3" s="204" t="s">
        <v>39</v>
      </c>
      <c r="C3" s="204"/>
      <c r="D3" s="204"/>
      <c r="E3" s="204"/>
      <c r="F3" s="204"/>
      <c r="G3" s="204"/>
      <c r="H3" s="204"/>
      <c r="I3" s="204"/>
      <c r="J3" s="204"/>
    </row>
    <row r="4" spans="2:10" ht="16.5" customHeight="1" hidden="1">
      <c r="B4" s="8"/>
      <c r="C4" s="7"/>
      <c r="D4" s="7"/>
      <c r="E4" s="9"/>
      <c r="F4" s="10"/>
      <c r="G4" s="11"/>
      <c r="H4" s="9"/>
      <c r="I4" s="10"/>
      <c r="J4" s="11"/>
    </row>
    <row r="5" spans="2:10" ht="12.75" customHeight="1">
      <c r="B5" s="205" t="s">
        <v>1</v>
      </c>
      <c r="C5" s="205" t="s">
        <v>0</v>
      </c>
      <c r="D5" s="205" t="s">
        <v>13</v>
      </c>
      <c r="E5" s="197" t="s">
        <v>23</v>
      </c>
      <c r="F5" s="100"/>
      <c r="G5" s="101"/>
      <c r="H5" s="23" t="s">
        <v>34</v>
      </c>
      <c r="I5" s="208" t="s">
        <v>222</v>
      </c>
      <c r="J5" s="209"/>
    </row>
    <row r="6" spans="2:10" ht="23.25" customHeight="1">
      <c r="B6" s="206"/>
      <c r="C6" s="206"/>
      <c r="D6" s="206"/>
      <c r="E6" s="197"/>
      <c r="F6" s="102"/>
      <c r="G6" s="103"/>
      <c r="H6" s="24"/>
      <c r="I6" s="210"/>
      <c r="J6" s="211"/>
    </row>
    <row r="7" spans="2:10" ht="24" customHeight="1">
      <c r="B7" s="207"/>
      <c r="C7" s="207"/>
      <c r="D7" s="207"/>
      <c r="E7" s="197"/>
      <c r="F7" s="104" t="s">
        <v>208</v>
      </c>
      <c r="G7" s="104" t="s">
        <v>208</v>
      </c>
      <c r="H7" s="25" t="s">
        <v>207</v>
      </c>
      <c r="I7" s="26" t="s">
        <v>190</v>
      </c>
      <c r="J7" s="26" t="s">
        <v>43</v>
      </c>
    </row>
    <row r="8" spans="2:10" ht="12.75">
      <c r="B8" s="12" t="s">
        <v>2</v>
      </c>
      <c r="C8" s="12" t="s">
        <v>3</v>
      </c>
      <c r="D8" s="12" t="s">
        <v>4</v>
      </c>
      <c r="E8" s="12">
        <v>4</v>
      </c>
      <c r="F8" s="12">
        <v>5</v>
      </c>
      <c r="G8" s="12">
        <v>4</v>
      </c>
      <c r="H8" s="12">
        <v>4</v>
      </c>
      <c r="I8" s="12">
        <v>4</v>
      </c>
      <c r="J8" s="12">
        <v>5</v>
      </c>
    </row>
    <row r="9" spans="2:10" ht="18.75" customHeight="1">
      <c r="B9" s="194" t="s">
        <v>40</v>
      </c>
      <c r="C9" s="195"/>
      <c r="D9" s="195"/>
      <c r="E9" s="195"/>
      <c r="F9" s="195"/>
      <c r="G9" s="195"/>
      <c r="H9" s="195"/>
      <c r="I9" s="195"/>
      <c r="J9" s="196"/>
    </row>
    <row r="10" spans="2:10" ht="25.5" customHeight="1">
      <c r="B10" s="18" t="s">
        <v>230</v>
      </c>
      <c r="C10" s="212" t="s">
        <v>9</v>
      </c>
      <c r="D10" s="18" t="s">
        <v>27</v>
      </c>
      <c r="E10" s="13">
        <f>18317.03735+40406+17218.19934</f>
        <v>75941.23668999999</v>
      </c>
      <c r="F10" s="13"/>
      <c r="G10" s="13">
        <f>18317.03735+57624.16111</f>
        <v>75941.19846</v>
      </c>
      <c r="H10" s="13"/>
      <c r="I10" s="13"/>
      <c r="J10" s="13">
        <f>18317.03735+40406+17218.19934</f>
        <v>75941.23668999999</v>
      </c>
    </row>
    <row r="11" spans="2:10" ht="20.25">
      <c r="B11" s="18" t="s">
        <v>234</v>
      </c>
      <c r="C11" s="213"/>
      <c r="D11" s="18" t="s">
        <v>29</v>
      </c>
      <c r="E11" s="13">
        <f>24166.45804+36477.6+20350.2+20795.425</f>
        <v>101789.68304</v>
      </c>
      <c r="F11" s="13"/>
      <c r="G11" s="13">
        <f>24166.45804+77623.22217</f>
        <v>101789.68020999999</v>
      </c>
      <c r="H11" s="13"/>
      <c r="I11" s="13"/>
      <c r="J11" s="13">
        <f>24166.45804+36477.6+20350.2+20795.425</f>
        <v>101789.68304</v>
      </c>
    </row>
    <row r="12" spans="2:10" ht="12.75">
      <c r="B12" s="18" t="s">
        <v>7</v>
      </c>
      <c r="C12" s="213"/>
      <c r="D12" s="18" t="s">
        <v>5</v>
      </c>
      <c r="E12" s="13">
        <f>22781.32807+50725.2+19480.5</f>
        <v>92987.02807</v>
      </c>
      <c r="F12" s="13"/>
      <c r="G12" s="13">
        <f>22781.32807+70205.74551</f>
        <v>92987.07358</v>
      </c>
      <c r="H12" s="13"/>
      <c r="I12" s="13"/>
      <c r="J12" s="13">
        <f>22781.32807+50725.2+19480.5</f>
        <v>92987.02807</v>
      </c>
    </row>
    <row r="13" spans="2:10" ht="20.25">
      <c r="B13" s="18" t="s">
        <v>231</v>
      </c>
      <c r="C13" s="213"/>
      <c r="D13" s="18" t="s">
        <v>25</v>
      </c>
      <c r="E13" s="13">
        <f>55308.02806+21520.76+24442.3+37329.58+45926.76+49237.71497+6515.29692</f>
        <v>240280.43995</v>
      </c>
      <c r="F13" s="13"/>
      <c r="G13" s="13">
        <f>55308.02806+83114.42585+99373.50384</f>
        <v>237795.95775</v>
      </c>
      <c r="H13" s="13"/>
      <c r="I13" s="13"/>
      <c r="J13" s="13">
        <f>55308.02806+21520.76+24442.3+37329.58+45926.76+49237.71497+6515.29692</f>
        <v>240280.43995</v>
      </c>
    </row>
    <row r="14" spans="2:10" ht="12.75">
      <c r="B14" s="18" t="s">
        <v>235</v>
      </c>
      <c r="C14" s="213"/>
      <c r="D14" s="18" t="s">
        <v>11</v>
      </c>
      <c r="E14" s="13">
        <f>61768.01231+152423.5+59741.35319</f>
        <v>273932.8655</v>
      </c>
      <c r="F14" s="13"/>
      <c r="G14" s="13">
        <f>61768.01231+212164.89</f>
        <v>273932.90231000003</v>
      </c>
      <c r="H14" s="13"/>
      <c r="I14" s="13"/>
      <c r="J14" s="13">
        <f>61768.01231+152423.5+59741.35319</f>
        <v>273932.8655</v>
      </c>
    </row>
    <row r="15" spans="2:10" ht="20.25">
      <c r="B15" s="18" t="s">
        <v>236</v>
      </c>
      <c r="C15" s="213"/>
      <c r="D15" s="18" t="s">
        <v>31</v>
      </c>
      <c r="E15" s="13">
        <f>31515.52624+8646+25478.1+45287.5+6975.7+12010.3+27317.74193</f>
        <v>157230.86817</v>
      </c>
      <c r="F15" s="13"/>
      <c r="G15" s="13">
        <f>31515.52624+8645.97673+92251.02141+27734.58013</f>
        <v>160147.10451</v>
      </c>
      <c r="H15" s="13"/>
      <c r="I15" s="13"/>
      <c r="J15" s="13">
        <f>31515.52624+8646+25478.1+45287.5+6975.7+12010.3+27317.74193</f>
        <v>157230.86817</v>
      </c>
    </row>
    <row r="16" spans="2:10" ht="20.25">
      <c r="B16" s="18" t="s">
        <v>232</v>
      </c>
      <c r="C16" s="213"/>
      <c r="D16" s="18" t="s">
        <v>30</v>
      </c>
      <c r="E16" s="13">
        <f>21104.96044+56504+20624.708</f>
        <v>98233.66844</v>
      </c>
      <c r="F16" s="13"/>
      <c r="G16" s="13">
        <f>21104.96044+77128.72154</f>
        <v>98233.68198</v>
      </c>
      <c r="H16" s="13"/>
      <c r="I16" s="13"/>
      <c r="J16" s="13">
        <f>21104.96044+56504+20624.708</f>
        <v>98233.66844</v>
      </c>
    </row>
    <row r="17" spans="2:10" ht="20.25">
      <c r="B17" s="18" t="s">
        <v>237</v>
      </c>
      <c r="C17" s="213"/>
      <c r="D17" s="18" t="s">
        <v>28</v>
      </c>
      <c r="E17" s="13">
        <f>18404.96209+16847.1+26047.3+15979.97189</f>
        <v>77279.33398</v>
      </c>
      <c r="F17" s="13"/>
      <c r="G17" s="13">
        <f>18404.96209+58874.4172</f>
        <v>77279.37929000001</v>
      </c>
      <c r="H17" s="13"/>
      <c r="I17" s="13"/>
      <c r="J17" s="13">
        <f>18404.96209+16847.1+26047.3+15979.97189</f>
        <v>77279.33398</v>
      </c>
    </row>
    <row r="18" spans="2:10" ht="20.25">
      <c r="B18" s="18" t="s">
        <v>228</v>
      </c>
      <c r="C18" s="213"/>
      <c r="D18" s="18" t="s">
        <v>28</v>
      </c>
      <c r="E18" s="13">
        <f>14943.50878+12652.7+24400.8+16090.76661</f>
        <v>68087.77539000001</v>
      </c>
      <c r="F18" s="13"/>
      <c r="G18" s="13">
        <f>14943.50878+53288.6763</f>
        <v>68232.18508</v>
      </c>
      <c r="H18" s="13"/>
      <c r="I18" s="13"/>
      <c r="J18" s="13">
        <f>14943.50878+12652.7+24400.8+16090.76661</f>
        <v>68087.77539000001</v>
      </c>
    </row>
    <row r="19" spans="2:10" ht="20.25">
      <c r="B19" s="18" t="s">
        <v>226</v>
      </c>
      <c r="C19" s="213"/>
      <c r="D19" s="18" t="s">
        <v>12</v>
      </c>
      <c r="E19" s="13">
        <f>13742.3507+33898.8+12724.83103</f>
        <v>60365.98173000001</v>
      </c>
      <c r="F19" s="13"/>
      <c r="G19" s="13">
        <f>13742.3507+46623.62484</f>
        <v>60365.97554</v>
      </c>
      <c r="H19" s="13"/>
      <c r="I19" s="13"/>
      <c r="J19" s="13">
        <f>13742.3507+33898.8+12724.83103</f>
        <v>60365.98173000001</v>
      </c>
    </row>
    <row r="20" spans="2:10" ht="22.5" customHeight="1">
      <c r="B20" s="18" t="s">
        <v>233</v>
      </c>
      <c r="C20" s="213"/>
      <c r="D20" s="18" t="s">
        <v>26</v>
      </c>
      <c r="E20" s="13">
        <f>29275.72292+15273.25+10357.22+26943.3+14440.2+18149.75407</f>
        <v>114439.44699</v>
      </c>
      <c r="F20" s="13"/>
      <c r="G20" s="13">
        <f>29275.72292+53354.20141+32029.52028</f>
        <v>114659.44461</v>
      </c>
      <c r="H20" s="13"/>
      <c r="I20" s="13"/>
      <c r="J20" s="13">
        <f>29275.72292+15273.25+10357.22+26943.3+14440.2+18149.75407</f>
        <v>114439.44699</v>
      </c>
    </row>
    <row r="21" spans="2:10" ht="20.25">
      <c r="B21" s="18" t="s">
        <v>227</v>
      </c>
      <c r="C21" s="213"/>
      <c r="D21" s="18" t="s">
        <v>24</v>
      </c>
      <c r="E21" s="13">
        <f>29812.16893+76213.7+29264.70184</f>
        <v>135290.57077</v>
      </c>
      <c r="F21" s="13"/>
      <c r="G21" s="13">
        <f>29812.16893+105478.40915</f>
        <v>135290.57808</v>
      </c>
      <c r="H21" s="13"/>
      <c r="I21" s="13"/>
      <c r="J21" s="13">
        <f>29812.16893+76213.7+29264.70184</f>
        <v>135290.57077</v>
      </c>
    </row>
    <row r="22" spans="2:10" ht="20.25">
      <c r="B22" s="18" t="s">
        <v>238</v>
      </c>
      <c r="C22" s="213"/>
      <c r="D22" s="18" t="s">
        <v>12</v>
      </c>
      <c r="E22" s="13">
        <f>26570.25794+61103.4+36564.74707</f>
        <v>124238.40501</v>
      </c>
      <c r="F22" s="13"/>
      <c r="G22" s="13">
        <f>26570.25795+82168.21397</f>
        <v>108738.47192</v>
      </c>
      <c r="H22" s="13"/>
      <c r="I22" s="13"/>
      <c r="J22" s="13">
        <f>26570.25794+61103.4+36564.74707</f>
        <v>124238.40501</v>
      </c>
    </row>
    <row r="23" spans="2:10" ht="20.25">
      <c r="B23" s="18" t="s">
        <v>239</v>
      </c>
      <c r="C23" s="213"/>
      <c r="D23" s="18" t="s">
        <v>10</v>
      </c>
      <c r="E23" s="13">
        <f>25234.925+59392.6+20134.2894</f>
        <v>104761.8144</v>
      </c>
      <c r="F23" s="13"/>
      <c r="G23" s="13">
        <f>25234.92571+79526.91043</f>
        <v>104761.83614</v>
      </c>
      <c r="H23" s="13"/>
      <c r="I23" s="13"/>
      <c r="J23" s="13">
        <f>25234.925+59392.6+20134.2894</f>
        <v>104761.8144</v>
      </c>
    </row>
    <row r="24" spans="2:10" ht="20.25">
      <c r="B24" s="18" t="s">
        <v>240</v>
      </c>
      <c r="C24" s="213"/>
      <c r="D24" s="18" t="s">
        <v>30</v>
      </c>
      <c r="E24" s="13">
        <f>18298.96852+42156.6+14426.1</f>
        <v>74881.66852</v>
      </c>
      <c r="F24" s="13"/>
      <c r="G24" s="13">
        <f>18298.96852+56582.6969</f>
        <v>74881.66542</v>
      </c>
      <c r="H24" s="13"/>
      <c r="I24" s="13"/>
      <c r="J24" s="13">
        <f>18298.96852+42156.6+14426.1</f>
        <v>74881.66852</v>
      </c>
    </row>
    <row r="25" spans="2:10" ht="20.25">
      <c r="B25" s="18" t="s">
        <v>241</v>
      </c>
      <c r="C25" s="213"/>
      <c r="D25" s="18" t="s">
        <v>27</v>
      </c>
      <c r="E25" s="13">
        <f>18031.49036+48768.2+19533.59504</f>
        <v>86333.2854</v>
      </c>
      <c r="F25" s="13"/>
      <c r="G25" s="13">
        <f>18031.49036+68301.77843</f>
        <v>86333.26879</v>
      </c>
      <c r="H25" s="13"/>
      <c r="I25" s="13"/>
      <c r="J25" s="13">
        <f>18031.49036+48768.2+19533.59504</f>
        <v>86333.2854</v>
      </c>
    </row>
    <row r="26" spans="2:12" ht="20.25">
      <c r="B26" s="18" t="s">
        <v>242</v>
      </c>
      <c r="C26" s="214"/>
      <c r="D26" s="18" t="s">
        <v>31</v>
      </c>
      <c r="E26" s="13">
        <f>21759.99759+5764.1+27642+8006.9+4650.5+19116.4+26916.94081</f>
        <v>113856.83840000001</v>
      </c>
      <c r="F26" s="13"/>
      <c r="G26" s="13">
        <f>21759.99759+5763.98449+64926.82916+18489.72008</f>
        <v>110940.53132</v>
      </c>
      <c r="H26" s="13"/>
      <c r="I26" s="13"/>
      <c r="J26" s="13">
        <f>21759.99759+5764.1+27642+8006.9+4650.5+19116.4+26916.94081</f>
        <v>113856.83840000001</v>
      </c>
      <c r="L26" s="137"/>
    </row>
    <row r="27" spans="2:12" ht="14.25" customHeight="1">
      <c r="B27" s="215" t="s">
        <v>8</v>
      </c>
      <c r="C27" s="216"/>
      <c r="D27" s="217"/>
      <c r="E27" s="13">
        <v>263661.9</v>
      </c>
      <c r="F27" s="13"/>
      <c r="G27" s="13">
        <f>223899.6+73700.4</f>
        <v>297600</v>
      </c>
      <c r="H27" s="13"/>
      <c r="I27" s="13"/>
      <c r="J27" s="13">
        <f>2139495.92-1999930.969</f>
        <v>139564.95099999988</v>
      </c>
      <c r="L27" s="137"/>
    </row>
    <row r="28" spans="2:10" ht="29.25" customHeight="1">
      <c r="B28" s="186" t="s">
        <v>14</v>
      </c>
      <c r="C28" s="187"/>
      <c r="D28" s="188"/>
      <c r="E28" s="14">
        <f>E10+E11+E12+E13+E14+E15+E16+E17+E18+E19+E20+E21+E22+E23+E24+E25+E26+E27</f>
        <v>2263592.8104500007</v>
      </c>
      <c r="F28" s="14">
        <f>F10+F11+F12+F13+F14+F15+F16+F17+F18+F19+F20+F21+F22+F23+F24+F25+F26+F27</f>
        <v>0</v>
      </c>
      <c r="G28" s="14">
        <f>G10+G11+G12+G13+G14+G15+G16+G17+G18+G19+G20+G21+G22+G23+G24+G25+G26+G27</f>
        <v>2279910.9349899995</v>
      </c>
      <c r="H28" s="14"/>
      <c r="I28" s="14"/>
      <c r="J28" s="14">
        <f>J10+J11+J12+J13+J14+J15+J16+J17+J18+J19+J20+J21+J22+J23+J24+J25+J26+J27</f>
        <v>2139495.8614500007</v>
      </c>
    </row>
    <row r="29" spans="2:10" ht="29.25" customHeight="1">
      <c r="B29" s="194" t="s">
        <v>41</v>
      </c>
      <c r="C29" s="195"/>
      <c r="D29" s="195"/>
      <c r="E29" s="195"/>
      <c r="F29" s="195"/>
      <c r="G29" s="195"/>
      <c r="H29" s="195"/>
      <c r="I29" s="195"/>
      <c r="J29" s="196"/>
    </row>
    <row r="30" spans="2:10" ht="24.75" customHeight="1">
      <c r="B30" s="174" t="s">
        <v>235</v>
      </c>
      <c r="C30" s="122" t="s">
        <v>45</v>
      </c>
      <c r="D30" s="12" t="s">
        <v>44</v>
      </c>
      <c r="E30" s="13">
        <v>36980.02</v>
      </c>
      <c r="F30" s="12"/>
      <c r="G30" s="13">
        <v>36980.02</v>
      </c>
      <c r="H30" s="13"/>
      <c r="I30" s="88">
        <v>7.35</v>
      </c>
      <c r="J30" s="13">
        <v>35499.63</v>
      </c>
    </row>
    <row r="31" spans="2:10" ht="13.5" customHeight="1">
      <c r="B31" s="175"/>
      <c r="C31" s="124" t="s">
        <v>17</v>
      </c>
      <c r="D31" s="31"/>
      <c r="E31" s="30">
        <f>E30</f>
        <v>36980.02</v>
      </c>
      <c r="F31" s="19"/>
      <c r="G31" s="30">
        <f>G30</f>
        <v>36980.02</v>
      </c>
      <c r="H31" s="14"/>
      <c r="I31" s="85">
        <f>I30</f>
        <v>7.35</v>
      </c>
      <c r="J31" s="30">
        <f>J30</f>
        <v>35499.63</v>
      </c>
    </row>
    <row r="32" spans="2:10" ht="25.5" customHeight="1" hidden="1">
      <c r="B32" s="18" t="s">
        <v>59</v>
      </c>
      <c r="C32" s="33" t="s">
        <v>191</v>
      </c>
      <c r="D32" s="32" t="s">
        <v>60</v>
      </c>
      <c r="E32" s="29"/>
      <c r="F32" s="12"/>
      <c r="G32" s="29"/>
      <c r="H32" s="13"/>
      <c r="I32" s="13"/>
      <c r="J32" s="29"/>
    </row>
    <row r="33" spans="2:10" ht="14.25" customHeight="1" hidden="1">
      <c r="B33" s="18"/>
      <c r="C33" s="124" t="s">
        <v>17</v>
      </c>
      <c r="D33" s="31"/>
      <c r="E33" s="30">
        <f>E32</f>
        <v>0</v>
      </c>
      <c r="F33" s="19"/>
      <c r="G33" s="30">
        <f>G32</f>
        <v>0</v>
      </c>
      <c r="H33" s="14"/>
      <c r="I33" s="14"/>
      <c r="J33" s="30">
        <f>J32</f>
        <v>0</v>
      </c>
    </row>
    <row r="34" spans="2:10" ht="28.5" customHeight="1" hidden="1">
      <c r="B34" s="18" t="s">
        <v>61</v>
      </c>
      <c r="C34" s="33" t="s">
        <v>62</v>
      </c>
      <c r="D34" s="32" t="s">
        <v>63</v>
      </c>
      <c r="E34" s="167"/>
      <c r="F34" s="12"/>
      <c r="G34" s="121"/>
      <c r="H34" s="13"/>
      <c r="I34" s="13"/>
      <c r="J34" s="121"/>
    </row>
    <row r="35" spans="2:10" ht="27.75" customHeight="1" hidden="1">
      <c r="B35" s="18"/>
      <c r="C35" s="33" t="s">
        <v>64</v>
      </c>
      <c r="D35" s="35" t="s">
        <v>19</v>
      </c>
      <c r="E35" s="167"/>
      <c r="F35" s="12"/>
      <c r="G35" s="121"/>
      <c r="H35" s="13"/>
      <c r="I35" s="13"/>
      <c r="J35" s="121"/>
    </row>
    <row r="36" spans="2:10" ht="20.25" customHeight="1" hidden="1">
      <c r="B36" s="18"/>
      <c r="C36" s="123" t="s">
        <v>17</v>
      </c>
      <c r="D36" s="32"/>
      <c r="E36" s="29"/>
      <c r="F36" s="12"/>
      <c r="G36" s="29"/>
      <c r="H36" s="13"/>
      <c r="I36" s="13"/>
      <c r="J36" s="29"/>
    </row>
    <row r="37" spans="2:10" ht="25.5" customHeight="1" hidden="1">
      <c r="B37" s="18" t="s">
        <v>65</v>
      </c>
      <c r="C37" s="33"/>
      <c r="D37" s="33"/>
      <c r="E37" s="167"/>
      <c r="F37" s="12"/>
      <c r="G37" s="121"/>
      <c r="H37" s="13"/>
      <c r="I37" s="13"/>
      <c r="J37" s="121"/>
    </row>
    <row r="38" spans="2:10" ht="13.5" customHeight="1" hidden="1">
      <c r="B38" s="18"/>
      <c r="C38" s="33"/>
      <c r="D38" s="32"/>
      <c r="E38" s="29"/>
      <c r="F38" s="12"/>
      <c r="G38" s="29"/>
      <c r="H38" s="13"/>
      <c r="I38" s="13"/>
      <c r="J38" s="29"/>
    </row>
    <row r="39" spans="2:10" ht="26.25" customHeight="1">
      <c r="B39" s="174" t="s">
        <v>228</v>
      </c>
      <c r="C39" s="122" t="s">
        <v>38</v>
      </c>
      <c r="D39" s="12" t="s">
        <v>44</v>
      </c>
      <c r="E39" s="13">
        <v>127336.955</v>
      </c>
      <c r="F39" s="12"/>
      <c r="G39" s="13">
        <v>127336.955</v>
      </c>
      <c r="H39" s="13"/>
      <c r="I39" s="13"/>
      <c r="J39" s="13">
        <v>121636.07</v>
      </c>
    </row>
    <row r="40" spans="2:10" ht="14.25" customHeight="1">
      <c r="B40" s="175"/>
      <c r="C40" s="124" t="s">
        <v>17</v>
      </c>
      <c r="D40" s="31"/>
      <c r="E40" s="30">
        <f>E39</f>
        <v>127336.955</v>
      </c>
      <c r="F40" s="19"/>
      <c r="G40" s="30">
        <f>G39</f>
        <v>127336.955</v>
      </c>
      <c r="H40" s="14"/>
      <c r="I40" s="14"/>
      <c r="J40" s="30">
        <f>J39</f>
        <v>121636.07</v>
      </c>
    </row>
    <row r="41" spans="2:10" ht="24" customHeight="1">
      <c r="B41" s="174" t="s">
        <v>233</v>
      </c>
      <c r="C41" s="122" t="s">
        <v>36</v>
      </c>
      <c r="D41" s="21"/>
      <c r="E41" s="13">
        <v>52708.04</v>
      </c>
      <c r="F41" s="12"/>
      <c r="G41" s="13">
        <v>52708.04</v>
      </c>
      <c r="H41" s="13"/>
      <c r="I41" s="13"/>
      <c r="J41" s="13">
        <v>49539.71</v>
      </c>
    </row>
    <row r="42" spans="2:10" ht="16.5" customHeight="1">
      <c r="B42" s="175"/>
      <c r="C42" s="124" t="s">
        <v>17</v>
      </c>
      <c r="D42" s="31"/>
      <c r="E42" s="30">
        <f>E41</f>
        <v>52708.04</v>
      </c>
      <c r="F42" s="19"/>
      <c r="G42" s="30">
        <f>G41</f>
        <v>52708.04</v>
      </c>
      <c r="H42" s="14"/>
      <c r="I42" s="14"/>
      <c r="J42" s="30">
        <f>J41</f>
        <v>49539.71</v>
      </c>
    </row>
    <row r="43" spans="2:10" ht="28.5" customHeight="1">
      <c r="B43" s="174" t="s">
        <v>232</v>
      </c>
      <c r="C43" s="122" t="s">
        <v>37</v>
      </c>
      <c r="D43" s="21" t="s">
        <v>32</v>
      </c>
      <c r="E43" s="13">
        <v>47932.61</v>
      </c>
      <c r="F43" s="12"/>
      <c r="G43" s="13">
        <v>47932.61</v>
      </c>
      <c r="H43" s="13"/>
      <c r="I43" s="13"/>
      <c r="J43" s="13">
        <v>37626.38</v>
      </c>
    </row>
    <row r="44" spans="2:10" ht="18.75" customHeight="1">
      <c r="B44" s="175"/>
      <c r="C44" s="124" t="s">
        <v>17</v>
      </c>
      <c r="D44" s="31"/>
      <c r="E44" s="30">
        <f>E43</f>
        <v>47932.61</v>
      </c>
      <c r="F44" s="19"/>
      <c r="G44" s="30">
        <f>G43</f>
        <v>47932.61</v>
      </c>
      <c r="H44" s="14"/>
      <c r="I44" s="14"/>
      <c r="J44" s="30">
        <f>J43</f>
        <v>37626.38</v>
      </c>
    </row>
    <row r="45" spans="2:10" ht="25.5" customHeight="1">
      <c r="B45" s="174" t="s">
        <v>239</v>
      </c>
      <c r="C45" s="122" t="s">
        <v>35</v>
      </c>
      <c r="D45" s="21" t="s">
        <v>32</v>
      </c>
      <c r="E45" s="13">
        <v>101774.977</v>
      </c>
      <c r="F45" s="12"/>
      <c r="G45" s="13">
        <v>101774.977</v>
      </c>
      <c r="H45" s="13"/>
      <c r="I45" s="13"/>
      <c r="J45" s="13">
        <v>72177.33</v>
      </c>
    </row>
    <row r="46" spans="2:10" ht="12.75" customHeight="1">
      <c r="B46" s="175"/>
      <c r="C46" s="124" t="s">
        <v>17</v>
      </c>
      <c r="D46" s="31"/>
      <c r="E46" s="30">
        <f>E45</f>
        <v>101774.977</v>
      </c>
      <c r="F46" s="19"/>
      <c r="G46" s="30">
        <f>G45</f>
        <v>101774.977</v>
      </c>
      <c r="H46" s="14"/>
      <c r="I46" s="14"/>
      <c r="J46" s="30">
        <f>J45</f>
        <v>72177.33</v>
      </c>
    </row>
    <row r="47" spans="2:10" ht="23.25" customHeight="1">
      <c r="B47" s="174" t="s">
        <v>242</v>
      </c>
      <c r="C47" s="122" t="s">
        <v>46</v>
      </c>
      <c r="D47" s="21" t="s">
        <v>47</v>
      </c>
      <c r="E47" s="29">
        <v>1671.956</v>
      </c>
      <c r="F47" s="12"/>
      <c r="G47" s="29">
        <v>1671.956</v>
      </c>
      <c r="H47" s="13"/>
      <c r="I47" s="13"/>
      <c r="J47" s="13">
        <v>0</v>
      </c>
    </row>
    <row r="48" spans="2:10" ht="15" customHeight="1">
      <c r="B48" s="175"/>
      <c r="C48" s="124" t="s">
        <v>17</v>
      </c>
      <c r="D48" s="31"/>
      <c r="E48" s="30">
        <f>E47</f>
        <v>1671.956</v>
      </c>
      <c r="F48" s="19"/>
      <c r="G48" s="30">
        <f>G47</f>
        <v>1671.956</v>
      </c>
      <c r="H48" s="14"/>
      <c r="I48" s="14"/>
      <c r="J48" s="30">
        <f>J47</f>
        <v>0</v>
      </c>
    </row>
    <row r="49" spans="2:10" ht="15" customHeight="1" hidden="1">
      <c r="B49" s="125"/>
      <c r="C49" s="126"/>
      <c r="D49" s="31"/>
      <c r="E49" s="30">
        <f>E31+E33+E36+E40+E42+E44+E46+E48</f>
        <v>368404.558</v>
      </c>
      <c r="F49" s="19"/>
      <c r="G49" s="30">
        <f>G31+G33+G36+G40+G42+G44+G46+G48</f>
        <v>368404.558</v>
      </c>
      <c r="H49" s="14"/>
      <c r="I49" s="14"/>
      <c r="J49" s="30">
        <f>J31+J33+J36+J40+J42+J44+J46+J48</f>
        <v>316479.12</v>
      </c>
    </row>
    <row r="50" spans="2:10" ht="16.5" customHeight="1">
      <c r="B50" s="198" t="s">
        <v>18</v>
      </c>
      <c r="C50" s="199"/>
      <c r="D50" s="12"/>
      <c r="E50" s="13">
        <v>60215.1</v>
      </c>
      <c r="F50" s="12"/>
      <c r="G50" s="13">
        <v>60215.1</v>
      </c>
      <c r="H50" s="13"/>
      <c r="I50" s="13"/>
      <c r="J50" s="13">
        <v>48071.83</v>
      </c>
    </row>
    <row r="51" spans="2:10" ht="14.25" customHeight="1" hidden="1">
      <c r="B51" s="198" t="s">
        <v>15</v>
      </c>
      <c r="C51" s="199"/>
      <c r="D51" s="12"/>
      <c r="E51" s="13"/>
      <c r="F51" s="12"/>
      <c r="G51" s="13"/>
      <c r="H51" s="13"/>
      <c r="I51" s="13"/>
      <c r="J51" s="13"/>
    </row>
    <row r="52" spans="2:10" ht="23.25" customHeight="1">
      <c r="B52" s="186" t="s">
        <v>16</v>
      </c>
      <c r="C52" s="187"/>
      <c r="D52" s="188"/>
      <c r="E52" s="14">
        <f>E49+E50</f>
        <v>428619.658</v>
      </c>
      <c r="F52" s="19"/>
      <c r="G52" s="14">
        <f>G49+G50</f>
        <v>428619.658</v>
      </c>
      <c r="H52" s="14"/>
      <c r="I52" s="85">
        <f>I31</f>
        <v>7.35</v>
      </c>
      <c r="J52" s="14">
        <f>J49+J50</f>
        <v>364550.95</v>
      </c>
    </row>
    <row r="53" spans="2:10" ht="26.25" customHeight="1">
      <c r="B53" s="194" t="s">
        <v>42</v>
      </c>
      <c r="C53" s="195"/>
      <c r="D53" s="195"/>
      <c r="E53" s="195"/>
      <c r="F53" s="195"/>
      <c r="G53" s="195"/>
      <c r="H53" s="195"/>
      <c r="I53" s="195"/>
      <c r="J53" s="196"/>
    </row>
    <row r="54" spans="2:10" ht="32.25" customHeight="1" hidden="1">
      <c r="B54" s="97"/>
      <c r="C54" s="33" t="s">
        <v>67</v>
      </c>
      <c r="D54" s="200" t="s">
        <v>21</v>
      </c>
      <c r="E54" s="29"/>
      <c r="F54" s="143"/>
      <c r="G54" s="88"/>
      <c r="H54" s="88"/>
      <c r="I54" s="88"/>
      <c r="J54" s="29"/>
    </row>
    <row r="55" spans="2:10" ht="24" customHeight="1" hidden="1">
      <c r="B55" s="97"/>
      <c r="C55" s="33" t="s">
        <v>68</v>
      </c>
      <c r="D55" s="201"/>
      <c r="E55" s="29"/>
      <c r="F55" s="144"/>
      <c r="G55" s="32"/>
      <c r="H55" s="88"/>
      <c r="I55" s="32"/>
      <c r="J55" s="29"/>
    </row>
    <row r="56" spans="2:12" ht="14.25" customHeight="1">
      <c r="B56" s="174" t="s">
        <v>230</v>
      </c>
      <c r="C56" s="33" t="s">
        <v>69</v>
      </c>
      <c r="D56" s="201"/>
      <c r="E56" s="29">
        <v>18126.48473</v>
      </c>
      <c r="F56" s="29"/>
      <c r="G56" s="88"/>
      <c r="H56" s="88">
        <v>0.96</v>
      </c>
      <c r="I56" s="88">
        <v>0.96</v>
      </c>
      <c r="J56" s="29">
        <v>17607.71377</v>
      </c>
      <c r="K56" s="22">
        <v>1</v>
      </c>
      <c r="L56" s="137">
        <f>E56-J56</f>
        <v>518.7709600000017</v>
      </c>
    </row>
    <row r="57" spans="2:12" ht="29.25" customHeight="1">
      <c r="B57" s="180"/>
      <c r="C57" s="38" t="s">
        <v>70</v>
      </c>
      <c r="D57" s="201"/>
      <c r="E57" s="29">
        <v>92413.306</v>
      </c>
      <c r="F57" s="29"/>
      <c r="G57" s="88"/>
      <c r="H57" s="88">
        <v>20.585</v>
      </c>
      <c r="I57" s="88">
        <v>20.585</v>
      </c>
      <c r="J57" s="29">
        <v>92413.30581</v>
      </c>
      <c r="K57" s="22">
        <v>1</v>
      </c>
      <c r="L57" s="137">
        <f>E57-J57</f>
        <v>0.00018999999156221747</v>
      </c>
    </row>
    <row r="58" spans="2:10" ht="24" customHeight="1" hidden="1">
      <c r="B58" s="180"/>
      <c r="C58" s="38" t="s">
        <v>71</v>
      </c>
      <c r="D58" s="202"/>
      <c r="E58" s="29"/>
      <c r="F58" s="29"/>
      <c r="G58" s="88"/>
      <c r="H58" s="88"/>
      <c r="I58" s="88"/>
      <c r="J58" s="29"/>
    </row>
    <row r="59" spans="2:10" ht="12.75" customHeight="1" hidden="1">
      <c r="B59" s="180"/>
      <c r="C59" s="37" t="s">
        <v>72</v>
      </c>
      <c r="D59" s="31"/>
      <c r="E59" s="30">
        <f>E56+E57</f>
        <v>110539.79073</v>
      </c>
      <c r="F59" s="30"/>
      <c r="G59" s="85"/>
      <c r="H59" s="85">
        <f>SUM(H54:H58)</f>
        <v>21.545</v>
      </c>
      <c r="I59" s="85">
        <f>SUM(I54:I58)</f>
        <v>21.545</v>
      </c>
      <c r="J59" s="30">
        <f>SUM(J54:J58)</f>
        <v>110021.01958000001</v>
      </c>
    </row>
    <row r="60" spans="2:10" ht="24" customHeight="1" hidden="1">
      <c r="B60" s="180"/>
      <c r="C60" s="38" t="s">
        <v>73</v>
      </c>
      <c r="D60" s="233"/>
      <c r="E60" s="30">
        <v>0</v>
      </c>
      <c r="F60" s="105"/>
      <c r="G60" s="85"/>
      <c r="H60" s="85"/>
      <c r="I60" s="85"/>
      <c r="J60" s="105"/>
    </row>
    <row r="61" spans="2:10" ht="24" customHeight="1" hidden="1">
      <c r="B61" s="180"/>
      <c r="C61" s="38" t="s">
        <v>74</v>
      </c>
      <c r="D61" s="234"/>
      <c r="E61" s="30">
        <v>0</v>
      </c>
      <c r="F61" s="105"/>
      <c r="G61" s="85"/>
      <c r="H61" s="85"/>
      <c r="I61" s="85"/>
      <c r="J61" s="105"/>
    </row>
    <row r="62" spans="2:10" ht="12.75" customHeight="1" hidden="1">
      <c r="B62" s="180"/>
      <c r="C62" s="37" t="s">
        <v>72</v>
      </c>
      <c r="D62" s="34"/>
      <c r="E62" s="30">
        <f>SUM(E60:E61)</f>
        <v>0</v>
      </c>
      <c r="F62" s="105"/>
      <c r="G62" s="85"/>
      <c r="H62" s="85"/>
      <c r="I62" s="85"/>
      <c r="J62" s="105"/>
    </row>
    <row r="63" spans="2:10" ht="14.25" customHeight="1">
      <c r="B63" s="175"/>
      <c r="C63" s="37" t="s">
        <v>75</v>
      </c>
      <c r="D63" s="34"/>
      <c r="E63" s="30">
        <f>E59+E62</f>
        <v>110539.79073</v>
      </c>
      <c r="F63" s="30"/>
      <c r="G63" s="85"/>
      <c r="H63" s="85">
        <f>H53+H59</f>
        <v>21.545</v>
      </c>
      <c r="I63" s="85">
        <f>I53+I59</f>
        <v>21.545</v>
      </c>
      <c r="J63" s="30">
        <f>J53+J59</f>
        <v>110021.01958000001</v>
      </c>
    </row>
    <row r="64" spans="2:12" ht="24">
      <c r="B64" s="174" t="s">
        <v>229</v>
      </c>
      <c r="C64" s="38" t="s">
        <v>76</v>
      </c>
      <c r="D64" s="39" t="s">
        <v>5</v>
      </c>
      <c r="E64" s="29">
        <v>47763.68948</v>
      </c>
      <c r="F64" s="29"/>
      <c r="G64" s="88"/>
      <c r="H64" s="88">
        <v>4</v>
      </c>
      <c r="I64" s="88">
        <v>4</v>
      </c>
      <c r="J64" s="29">
        <v>47763.68948</v>
      </c>
      <c r="K64" s="22">
        <v>1</v>
      </c>
      <c r="L64" s="137">
        <f>E64-J64</f>
        <v>0</v>
      </c>
    </row>
    <row r="65" spans="2:10" ht="12.75" customHeight="1" hidden="1">
      <c r="B65" s="180"/>
      <c r="C65" s="37" t="s">
        <v>72</v>
      </c>
      <c r="D65" s="39"/>
      <c r="E65" s="30">
        <f>E64</f>
        <v>47763.68948</v>
      </c>
      <c r="F65" s="30"/>
      <c r="G65" s="85"/>
      <c r="H65" s="85">
        <f>H64</f>
        <v>4</v>
      </c>
      <c r="I65" s="85">
        <f>I64</f>
        <v>4</v>
      </c>
      <c r="J65" s="30">
        <f>J64</f>
        <v>47763.68948</v>
      </c>
    </row>
    <row r="66" spans="2:12" ht="11.25" customHeight="1">
      <c r="B66" s="180"/>
      <c r="C66" s="40" t="s">
        <v>77</v>
      </c>
      <c r="D66" s="41" t="s">
        <v>78</v>
      </c>
      <c r="E66" s="29">
        <v>3091.66372</v>
      </c>
      <c r="F66" s="29"/>
      <c r="G66" s="89"/>
      <c r="H66" s="89" t="s">
        <v>189</v>
      </c>
      <c r="I66" s="89" t="s">
        <v>189</v>
      </c>
      <c r="J66" s="29">
        <v>3091.66372</v>
      </c>
      <c r="K66" s="22">
        <v>1</v>
      </c>
      <c r="L66" s="137">
        <f>E66-J66</f>
        <v>0</v>
      </c>
    </row>
    <row r="67" spans="2:10" ht="12.75" customHeight="1" hidden="1">
      <c r="B67" s="180"/>
      <c r="C67" s="42" t="s">
        <v>72</v>
      </c>
      <c r="D67" s="43"/>
      <c r="E67" s="30">
        <f>E66</f>
        <v>3091.66372</v>
      </c>
      <c r="F67" s="30"/>
      <c r="G67" s="90"/>
      <c r="H67" s="90" t="s">
        <v>189</v>
      </c>
      <c r="I67" s="90" t="s">
        <v>189</v>
      </c>
      <c r="J67" s="30">
        <f>J66</f>
        <v>3091.66372</v>
      </c>
    </row>
    <row r="68" spans="2:10" ht="16.5" customHeight="1">
      <c r="B68" s="175"/>
      <c r="C68" s="44" t="s">
        <v>79</v>
      </c>
      <c r="D68" s="31"/>
      <c r="E68" s="30">
        <f>E67+E65</f>
        <v>50855.3532</v>
      </c>
      <c r="F68" s="30"/>
      <c r="G68" s="90"/>
      <c r="H68" s="90">
        <v>4</v>
      </c>
      <c r="I68" s="90">
        <v>4</v>
      </c>
      <c r="J68" s="30">
        <f>J67+J65</f>
        <v>50855.3532</v>
      </c>
    </row>
    <row r="69" spans="2:12" ht="24.75" customHeight="1">
      <c r="B69" s="174" t="s">
        <v>231</v>
      </c>
      <c r="C69" s="45" t="s">
        <v>80</v>
      </c>
      <c r="D69" s="46" t="s">
        <v>81</v>
      </c>
      <c r="E69" s="106">
        <v>23493.3276</v>
      </c>
      <c r="F69" s="106"/>
      <c r="G69" s="82"/>
      <c r="H69" s="82">
        <v>1.645</v>
      </c>
      <c r="I69" s="82">
        <v>1.645</v>
      </c>
      <c r="J69" s="106">
        <v>23493.3276</v>
      </c>
      <c r="K69" s="22">
        <v>1</v>
      </c>
      <c r="L69" s="137">
        <f>E69-J69</f>
        <v>0</v>
      </c>
    </row>
    <row r="70" spans="2:10" ht="12.75" customHeight="1" hidden="1">
      <c r="B70" s="180"/>
      <c r="C70" s="47" t="s">
        <v>72</v>
      </c>
      <c r="D70" s="46"/>
      <c r="E70" s="106">
        <f>E69</f>
        <v>23493.3276</v>
      </c>
      <c r="F70" s="106"/>
      <c r="G70" s="72"/>
      <c r="H70" s="72">
        <f>SUM(H69)</f>
        <v>1.645</v>
      </c>
      <c r="I70" s="72">
        <f>SUM(I69)</f>
        <v>1.645</v>
      </c>
      <c r="J70" s="106">
        <f>J69</f>
        <v>23493.3276</v>
      </c>
    </row>
    <row r="71" spans="2:12" ht="17.25" customHeight="1">
      <c r="B71" s="180"/>
      <c r="C71" s="45" t="s">
        <v>82</v>
      </c>
      <c r="D71" s="46" t="s">
        <v>81</v>
      </c>
      <c r="E71" s="106">
        <v>146522.83822</v>
      </c>
      <c r="F71" s="106"/>
      <c r="G71" s="82"/>
      <c r="H71" s="82">
        <v>25.456</v>
      </c>
      <c r="I71" s="82">
        <v>21.456</v>
      </c>
      <c r="J71" s="106">
        <v>146522.83822</v>
      </c>
      <c r="K71" s="22">
        <v>1</v>
      </c>
      <c r="L71" s="137">
        <f>E71-J71</f>
        <v>0</v>
      </c>
    </row>
    <row r="72" spans="2:12" ht="24">
      <c r="B72" s="180"/>
      <c r="C72" s="45" t="s">
        <v>83</v>
      </c>
      <c r="D72" s="46" t="s">
        <v>84</v>
      </c>
      <c r="E72" s="106">
        <v>20212.83615</v>
      </c>
      <c r="F72" s="106"/>
      <c r="G72" s="82"/>
      <c r="H72" s="82"/>
      <c r="I72" s="82"/>
      <c r="J72" s="106">
        <v>20212.83615</v>
      </c>
      <c r="K72" s="22">
        <v>1</v>
      </c>
      <c r="L72" s="137">
        <f>E72-J72</f>
        <v>0</v>
      </c>
    </row>
    <row r="73" spans="2:10" ht="15.75" customHeight="1">
      <c r="B73" s="175"/>
      <c r="C73" s="44" t="s">
        <v>85</v>
      </c>
      <c r="D73" s="31"/>
      <c r="E73" s="30">
        <f>E71+E72+E70</f>
        <v>190229.00196999998</v>
      </c>
      <c r="F73" s="30"/>
      <c r="G73" s="72"/>
      <c r="H73" s="72">
        <f>H70+H72+H71</f>
        <v>27.101</v>
      </c>
      <c r="I73" s="72">
        <f>I70+I72+I71</f>
        <v>23.101</v>
      </c>
      <c r="J73" s="30">
        <f>J71+J72+J70</f>
        <v>190229.00196999998</v>
      </c>
    </row>
    <row r="74" spans="2:12" ht="16.5" customHeight="1">
      <c r="B74" s="174" t="s">
        <v>235</v>
      </c>
      <c r="C74" s="33" t="s">
        <v>86</v>
      </c>
      <c r="D74" s="200" t="s">
        <v>87</v>
      </c>
      <c r="E74" s="107">
        <v>28543.00294</v>
      </c>
      <c r="F74" s="107"/>
      <c r="G74" s="88"/>
      <c r="H74" s="88"/>
      <c r="I74" s="88">
        <v>3.26</v>
      </c>
      <c r="J74" s="29">
        <v>28543.00294</v>
      </c>
      <c r="K74" s="22">
        <v>1</v>
      </c>
      <c r="L74" s="137">
        <f>E74-J74</f>
        <v>0</v>
      </c>
    </row>
    <row r="75" spans="2:12" ht="15" customHeight="1">
      <c r="B75" s="180"/>
      <c r="C75" s="33" t="s">
        <v>88</v>
      </c>
      <c r="D75" s="202"/>
      <c r="E75" s="107">
        <v>7447.16984</v>
      </c>
      <c r="F75" s="107"/>
      <c r="G75" s="88"/>
      <c r="H75" s="88"/>
      <c r="I75" s="88">
        <v>0.9</v>
      </c>
      <c r="J75" s="29">
        <v>7447.16984</v>
      </c>
      <c r="K75" s="22">
        <v>1</v>
      </c>
      <c r="L75" s="137">
        <f>E75-J75</f>
        <v>0</v>
      </c>
    </row>
    <row r="76" spans="2:10" ht="12.75" customHeight="1" hidden="1">
      <c r="B76" s="180"/>
      <c r="C76" s="48" t="s">
        <v>89</v>
      </c>
      <c r="D76" s="31"/>
      <c r="E76" s="30">
        <f>SUM(E74:E75)</f>
        <v>35990.17278</v>
      </c>
      <c r="F76" s="30"/>
      <c r="G76" s="91"/>
      <c r="H76" s="91">
        <f>SUM(H74:H75)</f>
        <v>0</v>
      </c>
      <c r="I76" s="91">
        <f>SUM(I74:I75)</f>
        <v>4.16</v>
      </c>
      <c r="J76" s="30">
        <f>SUM(J74:J75)</f>
        <v>35990.17278</v>
      </c>
    </row>
    <row r="77" spans="2:10" ht="24" customHeight="1" hidden="1">
      <c r="B77" s="180"/>
      <c r="C77" s="49" t="s">
        <v>90</v>
      </c>
      <c r="D77" s="200" t="s">
        <v>81</v>
      </c>
      <c r="E77" s="29"/>
      <c r="F77" s="29"/>
      <c r="G77" s="88"/>
      <c r="H77" s="88"/>
      <c r="I77" s="88"/>
      <c r="J77" s="29"/>
    </row>
    <row r="78" spans="2:10" ht="24" customHeight="1" hidden="1">
      <c r="B78" s="180"/>
      <c r="C78" s="50" t="s">
        <v>91</v>
      </c>
      <c r="D78" s="201"/>
      <c r="E78" s="29"/>
      <c r="F78" s="29"/>
      <c r="G78" s="88"/>
      <c r="H78" s="88"/>
      <c r="I78" s="88"/>
      <c r="J78" s="29"/>
    </row>
    <row r="79" spans="2:10" ht="36" customHeight="1" hidden="1">
      <c r="B79" s="180"/>
      <c r="C79" s="50" t="s">
        <v>92</v>
      </c>
      <c r="D79" s="201"/>
      <c r="E79" s="29"/>
      <c r="F79" s="29"/>
      <c r="G79" s="89"/>
      <c r="H79" s="89"/>
      <c r="I79" s="89"/>
      <c r="J79" s="29"/>
    </row>
    <row r="80" spans="2:10" ht="23.25" customHeight="1" hidden="1">
      <c r="B80" s="180"/>
      <c r="C80" s="51" t="s">
        <v>93</v>
      </c>
      <c r="D80" s="201"/>
      <c r="E80" s="29"/>
      <c r="F80" s="29"/>
      <c r="G80" s="89"/>
      <c r="H80" s="89"/>
      <c r="I80" s="89"/>
      <c r="J80" s="29"/>
    </row>
    <row r="81" spans="2:10" ht="24" customHeight="1" hidden="1">
      <c r="B81" s="180"/>
      <c r="C81" s="40" t="s">
        <v>94</v>
      </c>
      <c r="D81" s="202"/>
      <c r="E81" s="29"/>
      <c r="F81" s="29"/>
      <c r="G81" s="88"/>
      <c r="H81" s="88"/>
      <c r="I81" s="88"/>
      <c r="J81" s="29"/>
    </row>
    <row r="82" spans="2:10" ht="12.75" customHeight="1" hidden="1">
      <c r="B82" s="180"/>
      <c r="C82" s="52" t="s">
        <v>72</v>
      </c>
      <c r="D82" s="53"/>
      <c r="E82" s="30"/>
      <c r="F82" s="30"/>
      <c r="G82" s="85"/>
      <c r="H82" s="85"/>
      <c r="I82" s="85"/>
      <c r="J82" s="30"/>
    </row>
    <row r="83" spans="2:10" ht="24" customHeight="1" hidden="1">
      <c r="B83" s="180"/>
      <c r="C83" s="49" t="s">
        <v>95</v>
      </c>
      <c r="D83" s="200" t="s">
        <v>87</v>
      </c>
      <c r="E83" s="29"/>
      <c r="F83" s="29"/>
      <c r="G83" s="88"/>
      <c r="H83" s="88"/>
      <c r="I83" s="88"/>
      <c r="J83" s="29"/>
    </row>
    <row r="84" spans="2:10" ht="24" customHeight="1" hidden="1">
      <c r="B84" s="180"/>
      <c r="C84" s="50" t="s">
        <v>96</v>
      </c>
      <c r="D84" s="201"/>
      <c r="E84" s="29"/>
      <c r="F84" s="29"/>
      <c r="G84" s="88"/>
      <c r="H84" s="88"/>
      <c r="I84" s="88"/>
      <c r="J84" s="29"/>
    </row>
    <row r="85" spans="2:10" ht="24" customHeight="1" hidden="1">
      <c r="B85" s="180"/>
      <c r="C85" s="50" t="s">
        <v>97</v>
      </c>
      <c r="D85" s="201"/>
      <c r="E85" s="29"/>
      <c r="F85" s="29"/>
      <c r="G85" s="88"/>
      <c r="H85" s="88"/>
      <c r="I85" s="88"/>
      <c r="J85" s="29"/>
    </row>
    <row r="86" spans="2:10" ht="33" customHeight="1" hidden="1">
      <c r="B86" s="180"/>
      <c r="C86" s="51" t="s">
        <v>98</v>
      </c>
      <c r="D86" s="201"/>
      <c r="E86" s="29"/>
      <c r="F86" s="29"/>
      <c r="G86" s="88"/>
      <c r="H86" s="88"/>
      <c r="I86" s="88"/>
      <c r="J86" s="29"/>
    </row>
    <row r="87" spans="2:12" ht="14.25" customHeight="1">
      <c r="B87" s="180"/>
      <c r="C87" s="49" t="s">
        <v>99</v>
      </c>
      <c r="D87" s="202"/>
      <c r="E87" s="29">
        <v>102344.40711</v>
      </c>
      <c r="F87" s="29"/>
      <c r="G87" s="88"/>
      <c r="H87" s="88">
        <v>9.49</v>
      </c>
      <c r="I87" s="88">
        <v>9.49</v>
      </c>
      <c r="J87" s="29">
        <v>102344.40711</v>
      </c>
      <c r="K87" s="22">
        <v>1</v>
      </c>
      <c r="L87" s="137">
        <f>E87-J87</f>
        <v>0</v>
      </c>
    </row>
    <row r="88" spans="2:10" ht="12.75" customHeight="1" hidden="1">
      <c r="B88" s="180"/>
      <c r="C88" s="54" t="s">
        <v>72</v>
      </c>
      <c r="D88" s="169"/>
      <c r="E88" s="30">
        <f>SUM(E83:E87)</f>
        <v>102344.40711</v>
      </c>
      <c r="F88" s="30"/>
      <c r="G88" s="85"/>
      <c r="H88" s="85">
        <f>SUM(H87)</f>
        <v>9.49</v>
      </c>
      <c r="I88" s="85">
        <f>SUM(I87)</f>
        <v>9.49</v>
      </c>
      <c r="J88" s="30">
        <f>SUM(J83:J87)</f>
        <v>102344.40711</v>
      </c>
    </row>
    <row r="89" spans="2:12" ht="23.25" customHeight="1">
      <c r="B89" s="180"/>
      <c r="C89" s="49" t="s">
        <v>100</v>
      </c>
      <c r="D89" s="200" t="s">
        <v>87</v>
      </c>
      <c r="E89" s="29">
        <v>165508.21576</v>
      </c>
      <c r="F89" s="29"/>
      <c r="G89" s="88"/>
      <c r="H89" s="88">
        <v>17.3</v>
      </c>
      <c r="I89" s="88">
        <v>17.3</v>
      </c>
      <c r="J89" s="29">
        <v>165508.21576</v>
      </c>
      <c r="K89" s="22">
        <v>1</v>
      </c>
      <c r="L89" s="137">
        <f>E89-J89</f>
        <v>0</v>
      </c>
    </row>
    <row r="90" spans="2:12" ht="17.25" customHeight="1">
      <c r="B90" s="180"/>
      <c r="C90" s="38" t="s">
        <v>201</v>
      </c>
      <c r="D90" s="201"/>
      <c r="E90" s="29">
        <v>58536.2</v>
      </c>
      <c r="F90" s="29"/>
      <c r="G90" s="168"/>
      <c r="H90" s="168">
        <v>4.4</v>
      </c>
      <c r="I90" s="168">
        <v>4.4</v>
      </c>
      <c r="J90" s="29">
        <v>57206.68</v>
      </c>
      <c r="K90" s="22">
        <v>1</v>
      </c>
      <c r="L90" s="137">
        <f>E90-J90</f>
        <v>1329.5199999999968</v>
      </c>
    </row>
    <row r="91" spans="2:12" ht="17.25" customHeight="1">
      <c r="B91" s="180"/>
      <c r="C91" s="55" t="s">
        <v>202</v>
      </c>
      <c r="D91" s="201"/>
      <c r="E91" s="29">
        <v>36426.53</v>
      </c>
      <c r="F91" s="29"/>
      <c r="G91" s="168"/>
      <c r="H91" s="168"/>
      <c r="I91" s="168"/>
      <c r="J91" s="29">
        <v>36029.59</v>
      </c>
      <c r="K91" s="22">
        <v>1</v>
      </c>
      <c r="L91" s="137">
        <f>E91-J91</f>
        <v>396.9400000000023</v>
      </c>
    </row>
    <row r="92" spans="2:12" ht="17.25" customHeight="1">
      <c r="B92" s="180"/>
      <c r="C92" s="49" t="s">
        <v>203</v>
      </c>
      <c r="D92" s="201"/>
      <c r="E92" s="29">
        <v>25509.45</v>
      </c>
      <c r="F92" s="29"/>
      <c r="G92" s="168"/>
      <c r="H92" s="168">
        <v>2</v>
      </c>
      <c r="I92" s="168">
        <v>1.63</v>
      </c>
      <c r="J92" s="29">
        <v>20469.51</v>
      </c>
      <c r="K92" s="22">
        <v>1</v>
      </c>
      <c r="L92" s="166">
        <f>E92-J92</f>
        <v>5039.940000000002</v>
      </c>
    </row>
    <row r="93" spans="2:12" ht="17.25" customHeight="1">
      <c r="B93" s="180"/>
      <c r="C93" s="49" t="s">
        <v>204</v>
      </c>
      <c r="D93" s="201"/>
      <c r="E93" s="29">
        <v>40562.55</v>
      </c>
      <c r="F93" s="29"/>
      <c r="G93" s="168"/>
      <c r="H93" s="168">
        <v>3.935</v>
      </c>
      <c r="I93" s="168">
        <v>3.098</v>
      </c>
      <c r="J93" s="29">
        <v>37875.21</v>
      </c>
      <c r="K93" s="22">
        <v>1</v>
      </c>
      <c r="L93" s="137">
        <f>E93-J93</f>
        <v>2687.340000000004</v>
      </c>
    </row>
    <row r="94" spans="2:10" ht="24" customHeight="1" hidden="1">
      <c r="B94" s="180"/>
      <c r="C94" s="55" t="s">
        <v>101</v>
      </c>
      <c r="D94" s="201"/>
      <c r="E94" s="29"/>
      <c r="F94" s="29"/>
      <c r="G94" s="168"/>
      <c r="H94" s="168"/>
      <c r="I94" s="168"/>
      <c r="J94" s="29"/>
    </row>
    <row r="95" spans="2:10" ht="24" customHeight="1" hidden="1">
      <c r="B95" s="180"/>
      <c r="C95" s="56" t="s">
        <v>102</v>
      </c>
      <c r="D95" s="201"/>
      <c r="E95" s="29"/>
      <c r="F95" s="29"/>
      <c r="G95" s="88"/>
      <c r="H95" s="88"/>
      <c r="I95" s="88"/>
      <c r="J95" s="29"/>
    </row>
    <row r="96" spans="2:10" ht="26.25" customHeight="1" hidden="1">
      <c r="B96" s="180"/>
      <c r="C96" s="57" t="s">
        <v>103</v>
      </c>
      <c r="D96" s="202"/>
      <c r="E96" s="29"/>
      <c r="F96" s="29"/>
      <c r="G96" s="88"/>
      <c r="H96" s="88"/>
      <c r="I96" s="88"/>
      <c r="J96" s="29"/>
    </row>
    <row r="97" spans="2:10" ht="12.75" customHeight="1" hidden="1">
      <c r="B97" s="180"/>
      <c r="C97" s="44" t="s">
        <v>72</v>
      </c>
      <c r="D97" s="31"/>
      <c r="E97" s="30">
        <f>SUM(E89:E96)</f>
        <v>326542.94576</v>
      </c>
      <c r="F97" s="30"/>
      <c r="G97" s="85"/>
      <c r="H97" s="85">
        <f>SUM(H89:H96)</f>
        <v>27.635</v>
      </c>
      <c r="I97" s="85">
        <f>SUM(I89:I96)</f>
        <v>26.428</v>
      </c>
      <c r="J97" s="30">
        <f>SUM(J89:J96)</f>
        <v>317089.20576</v>
      </c>
    </row>
    <row r="98" spans="2:12" ht="12.75">
      <c r="B98" s="180"/>
      <c r="C98" s="38" t="s">
        <v>104</v>
      </c>
      <c r="D98" s="200" t="s">
        <v>87</v>
      </c>
      <c r="E98" s="29">
        <v>78893.78087</v>
      </c>
      <c r="F98" s="29"/>
      <c r="G98" s="88"/>
      <c r="H98" s="88">
        <v>5</v>
      </c>
      <c r="I98" s="88">
        <v>5</v>
      </c>
      <c r="J98" s="29">
        <v>74387.04</v>
      </c>
      <c r="K98" s="22">
        <v>1</v>
      </c>
      <c r="L98" s="137">
        <f>E98-J98</f>
        <v>4506.740870000009</v>
      </c>
    </row>
    <row r="99" spans="2:12" ht="12.75">
      <c r="B99" s="180"/>
      <c r="C99" s="38" t="s">
        <v>105</v>
      </c>
      <c r="D99" s="201"/>
      <c r="E99" s="29">
        <v>233310.27652</v>
      </c>
      <c r="F99" s="29"/>
      <c r="G99" s="88"/>
      <c r="H99" s="88">
        <v>14</v>
      </c>
      <c r="I99" s="88">
        <v>14</v>
      </c>
      <c r="J99" s="29">
        <v>230259.43</v>
      </c>
      <c r="K99" s="22">
        <v>1</v>
      </c>
      <c r="L99" s="137">
        <f>E99-J99</f>
        <v>3050.846520000021</v>
      </c>
    </row>
    <row r="100" spans="2:12" ht="12.75" customHeight="1">
      <c r="B100" s="180"/>
      <c r="C100" s="38" t="s">
        <v>106</v>
      </c>
      <c r="D100" s="201"/>
      <c r="E100" s="29">
        <v>82353.21046</v>
      </c>
      <c r="F100" s="29"/>
      <c r="G100" s="88"/>
      <c r="H100" s="88">
        <v>5.77</v>
      </c>
      <c r="I100" s="88">
        <v>5.77</v>
      </c>
      <c r="J100" s="29">
        <v>81533.04</v>
      </c>
      <c r="K100" s="22">
        <v>1</v>
      </c>
      <c r="L100" s="137">
        <f>E100-J100</f>
        <v>820.1704600000085</v>
      </c>
    </row>
    <row r="101" spans="2:10" ht="12.75" customHeight="1" hidden="1">
      <c r="B101" s="180"/>
      <c r="C101" s="37" t="s">
        <v>72</v>
      </c>
      <c r="D101" s="169"/>
      <c r="E101" s="30">
        <f>SUM(E98:E100)</f>
        <v>394557.26785000006</v>
      </c>
      <c r="F101" s="30"/>
      <c r="G101" s="85"/>
      <c r="H101" s="85">
        <f>SUM(H98:H100)</f>
        <v>24.77</v>
      </c>
      <c r="I101" s="85">
        <f>SUM(I98:I100)</f>
        <v>24.77</v>
      </c>
      <c r="J101" s="30">
        <f>SUM(J98:J100)</f>
        <v>386179.50999999995</v>
      </c>
    </row>
    <row r="102" spans="2:12" ht="15" customHeight="1">
      <c r="B102" s="175"/>
      <c r="C102" s="44" t="s">
        <v>107</v>
      </c>
      <c r="D102" s="31"/>
      <c r="E102" s="30">
        <f>E76+E88+E97+E101</f>
        <v>859434.7935</v>
      </c>
      <c r="F102" s="30"/>
      <c r="G102" s="85"/>
      <c r="H102" s="85">
        <f>H97+H88+H82+H76+H101</f>
        <v>61.894999999999996</v>
      </c>
      <c r="I102" s="85">
        <f>I97+I88+I82+I76+I101</f>
        <v>64.848</v>
      </c>
      <c r="J102" s="30">
        <f>J76+J88+J97+J101</f>
        <v>841603.29565</v>
      </c>
      <c r="L102" s="137"/>
    </row>
    <row r="103" spans="2:12" ht="15.75" customHeight="1">
      <c r="B103" s="174" t="s">
        <v>236</v>
      </c>
      <c r="C103" s="51" t="s">
        <v>108</v>
      </c>
      <c r="D103" s="32" t="s">
        <v>109</v>
      </c>
      <c r="E103" s="106">
        <v>18871.0196</v>
      </c>
      <c r="F103" s="106"/>
      <c r="G103" s="82"/>
      <c r="H103" s="82">
        <v>1.9</v>
      </c>
      <c r="I103" s="82">
        <v>1.9</v>
      </c>
      <c r="J103" s="106">
        <v>18684.18</v>
      </c>
      <c r="K103" s="22">
        <v>1</v>
      </c>
      <c r="L103" s="137">
        <f>E103-J103</f>
        <v>186.83959999999934</v>
      </c>
    </row>
    <row r="104" spans="2:12" ht="15" customHeight="1">
      <c r="B104" s="180"/>
      <c r="C104" s="57" t="s">
        <v>110</v>
      </c>
      <c r="D104" s="228" t="s">
        <v>111</v>
      </c>
      <c r="E104" s="106">
        <v>11682.49776</v>
      </c>
      <c r="F104" s="106"/>
      <c r="G104" s="89"/>
      <c r="H104" s="89">
        <v>1</v>
      </c>
      <c r="I104" s="89">
        <v>1</v>
      </c>
      <c r="J104" s="106">
        <v>11682.49776</v>
      </c>
      <c r="K104" s="22">
        <v>1</v>
      </c>
      <c r="L104" s="137">
        <f>E104-J104</f>
        <v>0</v>
      </c>
    </row>
    <row r="105" spans="2:12" ht="15" customHeight="1">
      <c r="B105" s="180"/>
      <c r="C105" s="57" t="s">
        <v>112</v>
      </c>
      <c r="D105" s="229"/>
      <c r="E105" s="106">
        <v>59261.01528</v>
      </c>
      <c r="F105" s="106"/>
      <c r="G105" s="88"/>
      <c r="H105" s="88">
        <v>3.96</v>
      </c>
      <c r="I105" s="88">
        <v>3.96</v>
      </c>
      <c r="J105" s="106">
        <v>59261.01528</v>
      </c>
      <c r="K105" s="22">
        <v>1</v>
      </c>
      <c r="L105" s="137">
        <f>E105-J105</f>
        <v>0</v>
      </c>
    </row>
    <row r="106" spans="2:12" ht="15" customHeight="1">
      <c r="B106" s="180"/>
      <c r="C106" s="57" t="s">
        <v>113</v>
      </c>
      <c r="D106" s="229"/>
      <c r="E106" s="106">
        <v>2772.70564</v>
      </c>
      <c r="F106" s="106"/>
      <c r="G106" s="88"/>
      <c r="H106" s="88"/>
      <c r="I106" s="88"/>
      <c r="J106" s="106">
        <v>2772.70564</v>
      </c>
      <c r="K106" s="22">
        <v>1</v>
      </c>
      <c r="L106" s="137">
        <f>E106-J106</f>
        <v>0</v>
      </c>
    </row>
    <row r="107" spans="2:10" ht="15" customHeight="1" hidden="1">
      <c r="B107" s="180"/>
      <c r="C107" s="57" t="s">
        <v>114</v>
      </c>
      <c r="D107" s="230"/>
      <c r="E107" s="106"/>
      <c r="F107" s="106"/>
      <c r="G107" s="88"/>
      <c r="H107" s="88"/>
      <c r="I107" s="88"/>
      <c r="J107" s="106"/>
    </row>
    <row r="108" spans="2:10" ht="12.75" customHeight="1" hidden="1">
      <c r="B108" s="180"/>
      <c r="C108" s="42" t="s">
        <v>72</v>
      </c>
      <c r="D108" s="58"/>
      <c r="E108" s="108">
        <f>E104+E105+E106+E107</f>
        <v>73716.21868</v>
      </c>
      <c r="F108" s="108"/>
      <c r="G108" s="85"/>
      <c r="H108" s="85">
        <f>SUM(H103:H107)</f>
        <v>6.859999999999999</v>
      </c>
      <c r="I108" s="85">
        <f>SUM(I103:I107)</f>
        <v>6.859999999999999</v>
      </c>
      <c r="J108" s="108">
        <f>J104+J105+J106+J107</f>
        <v>73716.21868</v>
      </c>
    </row>
    <row r="109" spans="2:12" ht="14.25" customHeight="1">
      <c r="B109" s="180"/>
      <c r="C109" s="59" t="s">
        <v>115</v>
      </c>
      <c r="D109" s="200" t="s">
        <v>116</v>
      </c>
      <c r="E109" s="106">
        <v>10394.177</v>
      </c>
      <c r="F109" s="106"/>
      <c r="G109" s="88"/>
      <c r="H109" s="88">
        <v>1</v>
      </c>
      <c r="I109" s="88">
        <v>1</v>
      </c>
      <c r="J109" s="106">
        <v>10394.177</v>
      </c>
      <c r="K109" s="22">
        <v>1</v>
      </c>
      <c r="L109" s="137">
        <f>E109-J109</f>
        <v>0</v>
      </c>
    </row>
    <row r="110" spans="2:12" ht="16.5" customHeight="1">
      <c r="B110" s="180"/>
      <c r="C110" s="59" t="s">
        <v>117</v>
      </c>
      <c r="D110" s="201"/>
      <c r="E110" s="106">
        <v>33514</v>
      </c>
      <c r="F110" s="106"/>
      <c r="G110" s="88"/>
      <c r="H110" s="88">
        <v>4</v>
      </c>
      <c r="I110" s="88">
        <v>4</v>
      </c>
      <c r="J110" s="106">
        <v>33514</v>
      </c>
      <c r="K110" s="22">
        <v>1</v>
      </c>
      <c r="L110" s="137">
        <f>E110-J110</f>
        <v>0</v>
      </c>
    </row>
    <row r="111" spans="2:12" ht="18" customHeight="1">
      <c r="B111" s="180"/>
      <c r="C111" s="60" t="s">
        <v>118</v>
      </c>
      <c r="D111" s="202"/>
      <c r="E111" s="106">
        <v>17032.43</v>
      </c>
      <c r="F111" s="106"/>
      <c r="G111" s="88"/>
      <c r="H111" s="88">
        <v>1.2</v>
      </c>
      <c r="I111" s="88">
        <v>1.2</v>
      </c>
      <c r="J111" s="106">
        <v>17032.43</v>
      </c>
      <c r="K111" s="22">
        <v>1</v>
      </c>
      <c r="L111" s="137">
        <f>E111-J111</f>
        <v>0</v>
      </c>
    </row>
    <row r="112" spans="2:10" ht="12.75" customHeight="1" hidden="1">
      <c r="B112" s="180"/>
      <c r="C112" s="42" t="s">
        <v>72</v>
      </c>
      <c r="D112" s="58"/>
      <c r="E112" s="108">
        <f>SUM(E109:E111)</f>
        <v>60940.606999999996</v>
      </c>
      <c r="F112" s="108"/>
      <c r="G112" s="90"/>
      <c r="H112" s="90">
        <f>SUM(H109:H111)</f>
        <v>6.2</v>
      </c>
      <c r="I112" s="90">
        <f>SUM(I109:I111)</f>
        <v>6.2</v>
      </c>
      <c r="J112" s="108">
        <f>SUM(J109:J111)</f>
        <v>60940.606999999996</v>
      </c>
    </row>
    <row r="113" spans="2:12" ht="15" customHeight="1">
      <c r="B113" s="175"/>
      <c r="C113" s="44" t="s">
        <v>119</v>
      </c>
      <c r="D113" s="31"/>
      <c r="E113" s="30">
        <f>E112+E108+E103</f>
        <v>153527.84528</v>
      </c>
      <c r="F113" s="30"/>
      <c r="G113" s="85"/>
      <c r="H113" s="85">
        <f>H108+H112</f>
        <v>13.059999999999999</v>
      </c>
      <c r="I113" s="85">
        <f>I108+I112</f>
        <v>13.059999999999999</v>
      </c>
      <c r="J113" s="30">
        <f>J112+J108+J103</f>
        <v>153341.00568</v>
      </c>
      <c r="L113" s="137"/>
    </row>
    <row r="114" spans="2:12" ht="18" customHeight="1">
      <c r="B114" s="174" t="s">
        <v>243</v>
      </c>
      <c r="C114" s="61" t="s">
        <v>120</v>
      </c>
      <c r="D114" s="200" t="s">
        <v>121</v>
      </c>
      <c r="E114" s="106">
        <v>11797.33</v>
      </c>
      <c r="F114" s="106"/>
      <c r="G114" s="88"/>
      <c r="H114" s="88"/>
      <c r="I114" s="88">
        <v>4</v>
      </c>
      <c r="J114" s="106">
        <v>11797.33</v>
      </c>
      <c r="K114" s="22">
        <v>1</v>
      </c>
      <c r="L114" s="137">
        <f aca="true" t="shared" si="0" ref="L114:L176">E114-J114</f>
        <v>0</v>
      </c>
    </row>
    <row r="115" spans="2:13" ht="17.25" customHeight="1">
      <c r="B115" s="180"/>
      <c r="C115" s="61" t="s">
        <v>122</v>
      </c>
      <c r="D115" s="202"/>
      <c r="E115" s="106">
        <v>70371.1</v>
      </c>
      <c r="F115" s="106"/>
      <c r="G115" s="82"/>
      <c r="H115" s="82"/>
      <c r="I115" s="82">
        <v>0</v>
      </c>
      <c r="J115" s="106">
        <v>0</v>
      </c>
      <c r="K115" s="165">
        <v>1</v>
      </c>
      <c r="L115" s="137"/>
      <c r="M115" s="22">
        <v>1</v>
      </c>
    </row>
    <row r="116" spans="2:12" ht="12.75" customHeight="1" hidden="1">
      <c r="B116" s="180"/>
      <c r="C116" s="62" t="s">
        <v>72</v>
      </c>
      <c r="D116" s="63"/>
      <c r="E116" s="110">
        <f>SUM(E114:E115)</f>
        <v>82168.43000000001</v>
      </c>
      <c r="F116" s="110"/>
      <c r="G116" s="85"/>
      <c r="H116" s="85">
        <f>SUM(H114:H115)</f>
        <v>0</v>
      </c>
      <c r="I116" s="85">
        <f>SUM(I114:I115)</f>
        <v>4</v>
      </c>
      <c r="J116" s="110">
        <f>SUM(J114:J115)</f>
        <v>11797.33</v>
      </c>
      <c r="L116" s="137">
        <f t="shared" si="0"/>
        <v>70371.1</v>
      </c>
    </row>
    <row r="117" spans="2:12" ht="84" customHeight="1" hidden="1">
      <c r="B117" s="180"/>
      <c r="C117" s="57" t="s">
        <v>123</v>
      </c>
      <c r="D117" s="200" t="s">
        <v>124</v>
      </c>
      <c r="E117" s="106"/>
      <c r="F117" s="106"/>
      <c r="G117" s="82"/>
      <c r="H117" s="82"/>
      <c r="I117" s="82"/>
      <c r="J117" s="106"/>
      <c r="L117" s="137">
        <f t="shared" si="0"/>
        <v>0</v>
      </c>
    </row>
    <row r="118" spans="2:12" ht="24.75" customHeight="1">
      <c r="B118" s="180"/>
      <c r="C118" s="57" t="s">
        <v>125</v>
      </c>
      <c r="D118" s="201"/>
      <c r="E118" s="109">
        <v>202191.6</v>
      </c>
      <c r="F118" s="109"/>
      <c r="G118" s="140"/>
      <c r="H118" s="86">
        <v>14.3</v>
      </c>
      <c r="I118" s="140">
        <v>14.3</v>
      </c>
      <c r="J118" s="106">
        <v>202191.6</v>
      </c>
      <c r="K118" s="22">
        <v>1</v>
      </c>
      <c r="L118" s="137">
        <f t="shared" si="0"/>
        <v>0</v>
      </c>
    </row>
    <row r="119" spans="2:12" ht="24" customHeight="1" hidden="1">
      <c r="B119" s="180"/>
      <c r="C119" s="64" t="s">
        <v>126</v>
      </c>
      <c r="D119" s="201"/>
      <c r="E119" s="106"/>
      <c r="F119" s="106"/>
      <c r="G119" s="82"/>
      <c r="H119" s="82"/>
      <c r="I119" s="82"/>
      <c r="J119" s="106"/>
      <c r="L119" s="137">
        <f t="shared" si="0"/>
        <v>0</v>
      </c>
    </row>
    <row r="120" spans="2:12" ht="24" customHeight="1" hidden="1">
      <c r="B120" s="180"/>
      <c r="C120" s="64" t="s">
        <v>127</v>
      </c>
      <c r="D120" s="202"/>
      <c r="E120" s="106"/>
      <c r="F120" s="106"/>
      <c r="G120" s="82"/>
      <c r="H120" s="82"/>
      <c r="I120" s="82"/>
      <c r="J120" s="106"/>
      <c r="L120" s="137">
        <f t="shared" si="0"/>
        <v>0</v>
      </c>
    </row>
    <row r="121" spans="2:12" ht="12.75" customHeight="1" hidden="1">
      <c r="B121" s="180"/>
      <c r="C121" s="65" t="s">
        <v>72</v>
      </c>
      <c r="D121" s="32"/>
      <c r="E121" s="110">
        <f>SUM(E117:E120)</f>
        <v>202191.6</v>
      </c>
      <c r="F121" s="110"/>
      <c r="G121" s="72"/>
      <c r="H121" s="72">
        <f>SUM(H117:H120)</f>
        <v>14.3</v>
      </c>
      <c r="I121" s="72">
        <f>SUM(I117:I120)</f>
        <v>14.3</v>
      </c>
      <c r="J121" s="110">
        <f>SUM(J117:J120)</f>
        <v>202191.6</v>
      </c>
      <c r="L121" s="137">
        <f t="shared" si="0"/>
        <v>0</v>
      </c>
    </row>
    <row r="122" spans="2:12" ht="36" customHeight="1" hidden="1">
      <c r="B122" s="180"/>
      <c r="C122" s="66" t="s">
        <v>128</v>
      </c>
      <c r="D122" s="32"/>
      <c r="E122" s="110"/>
      <c r="F122" s="110"/>
      <c r="G122" s="72"/>
      <c r="H122" s="72"/>
      <c r="I122" s="72"/>
      <c r="J122" s="110"/>
      <c r="L122" s="137">
        <f t="shared" si="0"/>
        <v>0</v>
      </c>
    </row>
    <row r="123" spans="2:12" ht="12.75" customHeight="1" hidden="1">
      <c r="B123" s="180"/>
      <c r="C123" s="62" t="s">
        <v>72</v>
      </c>
      <c r="D123" s="32"/>
      <c r="E123" s="110"/>
      <c r="F123" s="110"/>
      <c r="G123" s="72"/>
      <c r="H123" s="72"/>
      <c r="I123" s="72"/>
      <c r="J123" s="110"/>
      <c r="L123" s="137">
        <f t="shared" si="0"/>
        <v>0</v>
      </c>
    </row>
    <row r="124" spans="2:12" ht="15" customHeight="1">
      <c r="B124" s="175"/>
      <c r="C124" s="44" t="s">
        <v>129</v>
      </c>
      <c r="D124" s="31"/>
      <c r="E124" s="30">
        <f>E116+E121</f>
        <v>284360.03</v>
      </c>
      <c r="F124" s="30"/>
      <c r="G124" s="85"/>
      <c r="H124" s="85">
        <f>H116+H121</f>
        <v>14.3</v>
      </c>
      <c r="I124" s="85">
        <f>I116+I121</f>
        <v>18.3</v>
      </c>
      <c r="J124" s="30">
        <f>J116+J121</f>
        <v>213988.93</v>
      </c>
      <c r="L124" s="137"/>
    </row>
    <row r="125" spans="2:12" ht="36" customHeight="1" hidden="1">
      <c r="B125" s="181" t="s">
        <v>130</v>
      </c>
      <c r="C125" s="57" t="s">
        <v>131</v>
      </c>
      <c r="D125" s="222"/>
      <c r="E125" s="29"/>
      <c r="F125" s="29"/>
      <c r="G125" s="88"/>
      <c r="H125" s="88"/>
      <c r="I125" s="88"/>
      <c r="J125" s="29"/>
      <c r="L125" s="137">
        <f t="shared" si="0"/>
        <v>0</v>
      </c>
    </row>
    <row r="126" spans="2:12" ht="12.75" customHeight="1" hidden="1">
      <c r="B126" s="182"/>
      <c r="C126" s="57" t="s">
        <v>132</v>
      </c>
      <c r="D126" s="223"/>
      <c r="E126" s="29"/>
      <c r="F126" s="29"/>
      <c r="G126" s="88"/>
      <c r="H126" s="88"/>
      <c r="I126" s="88"/>
      <c r="J126" s="29"/>
      <c r="L126" s="137">
        <f t="shared" si="0"/>
        <v>0</v>
      </c>
    </row>
    <row r="127" spans="2:12" ht="12.75" customHeight="1" hidden="1">
      <c r="B127" s="182"/>
      <c r="C127" s="57" t="s">
        <v>133</v>
      </c>
      <c r="D127" s="223"/>
      <c r="E127" s="29"/>
      <c r="F127" s="29"/>
      <c r="G127" s="88"/>
      <c r="H127" s="88"/>
      <c r="I127" s="88"/>
      <c r="J127" s="29"/>
      <c r="L127" s="137">
        <f t="shared" si="0"/>
        <v>0</v>
      </c>
    </row>
    <row r="128" spans="2:12" ht="12.75" customHeight="1" hidden="1">
      <c r="B128" s="182"/>
      <c r="C128" s="57" t="s">
        <v>134</v>
      </c>
      <c r="D128" s="224"/>
      <c r="E128" s="29"/>
      <c r="F128" s="29"/>
      <c r="G128" s="88"/>
      <c r="H128" s="88"/>
      <c r="I128" s="88"/>
      <c r="J128" s="29"/>
      <c r="L128" s="137">
        <f t="shared" si="0"/>
        <v>0</v>
      </c>
    </row>
    <row r="129" spans="2:12" ht="12.75" customHeight="1" hidden="1">
      <c r="B129" s="182"/>
      <c r="C129" s="62" t="s">
        <v>72</v>
      </c>
      <c r="D129" s="67"/>
      <c r="E129" s="30"/>
      <c r="F129" s="30"/>
      <c r="G129" s="85"/>
      <c r="H129" s="85"/>
      <c r="I129" s="85"/>
      <c r="J129" s="30"/>
      <c r="L129" s="137">
        <f t="shared" si="0"/>
        <v>0</v>
      </c>
    </row>
    <row r="130" spans="2:12" ht="12.75" customHeight="1" hidden="1">
      <c r="B130" s="183"/>
      <c r="C130" s="44" t="s">
        <v>135</v>
      </c>
      <c r="D130" s="31"/>
      <c r="E130" s="30">
        <f>SUM(E129)</f>
        <v>0</v>
      </c>
      <c r="F130" s="30"/>
      <c r="G130" s="85"/>
      <c r="H130" s="85">
        <f>SUM(H129)</f>
        <v>0</v>
      </c>
      <c r="I130" s="85">
        <f>SUM(I129)</f>
        <v>0</v>
      </c>
      <c r="J130" s="30">
        <f>SUM(J129)</f>
        <v>0</v>
      </c>
      <c r="L130" s="137">
        <f t="shared" si="0"/>
        <v>0</v>
      </c>
    </row>
    <row r="131" spans="2:12" ht="24">
      <c r="B131" s="174" t="s">
        <v>228</v>
      </c>
      <c r="C131" s="57" t="s">
        <v>136</v>
      </c>
      <c r="D131" s="225" t="s">
        <v>137</v>
      </c>
      <c r="E131" s="29">
        <v>10440.67</v>
      </c>
      <c r="F131" s="29"/>
      <c r="G131" s="88"/>
      <c r="H131" s="88">
        <v>4.2</v>
      </c>
      <c r="I131" s="88">
        <v>4.2</v>
      </c>
      <c r="J131" s="29">
        <v>10440.67</v>
      </c>
      <c r="K131" s="22">
        <v>1</v>
      </c>
      <c r="L131" s="137">
        <f t="shared" si="0"/>
        <v>0</v>
      </c>
    </row>
    <row r="132" spans="2:12" ht="16.5" customHeight="1">
      <c r="B132" s="180"/>
      <c r="C132" s="57" t="s">
        <v>138</v>
      </c>
      <c r="D132" s="226"/>
      <c r="E132" s="29">
        <v>30333.53</v>
      </c>
      <c r="F132" s="29"/>
      <c r="G132" s="88"/>
      <c r="H132" s="88">
        <v>7.523</v>
      </c>
      <c r="I132" s="88">
        <v>7.523</v>
      </c>
      <c r="J132" s="29">
        <v>30333.53</v>
      </c>
      <c r="K132" s="22">
        <v>1</v>
      </c>
      <c r="L132" s="137">
        <f t="shared" si="0"/>
        <v>0</v>
      </c>
    </row>
    <row r="133" spans="2:12" ht="15" customHeight="1">
      <c r="B133" s="180"/>
      <c r="C133" s="64" t="s">
        <v>139</v>
      </c>
      <c r="D133" s="226"/>
      <c r="E133" s="120">
        <v>13694.68</v>
      </c>
      <c r="F133" s="120"/>
      <c r="G133" s="88"/>
      <c r="H133" s="88">
        <v>1.49</v>
      </c>
      <c r="I133" s="88">
        <v>1.49</v>
      </c>
      <c r="J133" s="120">
        <v>13694.68</v>
      </c>
      <c r="K133" s="22">
        <v>1</v>
      </c>
      <c r="L133" s="137">
        <f t="shared" si="0"/>
        <v>0</v>
      </c>
    </row>
    <row r="134" spans="2:12" ht="14.25" customHeight="1">
      <c r="B134" s="180"/>
      <c r="C134" s="64" t="s">
        <v>140</v>
      </c>
      <c r="D134" s="227"/>
      <c r="E134" s="120">
        <v>5254.94644</v>
      </c>
      <c r="F134" s="120"/>
      <c r="G134" s="88"/>
      <c r="H134" s="85">
        <v>1.2</v>
      </c>
      <c r="I134" s="88">
        <v>1.2</v>
      </c>
      <c r="J134" s="120">
        <v>4807.3</v>
      </c>
      <c r="K134" s="22">
        <v>1</v>
      </c>
      <c r="L134" s="137">
        <f t="shared" si="0"/>
        <v>447.64643999999953</v>
      </c>
    </row>
    <row r="135" spans="2:12" ht="12.75" customHeight="1" hidden="1">
      <c r="B135" s="180"/>
      <c r="C135" s="68" t="s">
        <v>72</v>
      </c>
      <c r="D135" s="31"/>
      <c r="E135" s="30">
        <f>SUM(E131:E134)</f>
        <v>59723.82644</v>
      </c>
      <c r="F135" s="30"/>
      <c r="G135" s="88"/>
      <c r="H135" s="88">
        <f>SUM(H131:H134)</f>
        <v>14.412999999999998</v>
      </c>
      <c r="I135" s="88">
        <f>SUM(I131:I134)</f>
        <v>14.412999999999998</v>
      </c>
      <c r="J135" s="30">
        <f>SUM(J131:J134)</f>
        <v>59276.18</v>
      </c>
      <c r="L135" s="137">
        <f t="shared" si="0"/>
        <v>447.6464399999968</v>
      </c>
    </row>
    <row r="136" spans="2:12" ht="24">
      <c r="B136" s="180"/>
      <c r="C136" s="69" t="s">
        <v>141</v>
      </c>
      <c r="D136" s="46" t="s">
        <v>21</v>
      </c>
      <c r="E136" s="29">
        <v>83797.45492</v>
      </c>
      <c r="F136" s="29"/>
      <c r="G136" s="88"/>
      <c r="H136" s="88">
        <v>3.53</v>
      </c>
      <c r="I136" s="88">
        <v>3.53</v>
      </c>
      <c r="J136" s="29">
        <v>80053.7</v>
      </c>
      <c r="K136" s="22">
        <v>1</v>
      </c>
      <c r="L136" s="137">
        <f t="shared" si="0"/>
        <v>3743.7549200000067</v>
      </c>
    </row>
    <row r="137" spans="2:12" ht="12.75" customHeight="1" hidden="1">
      <c r="B137" s="180"/>
      <c r="C137" s="70" t="s">
        <v>72</v>
      </c>
      <c r="D137" s="34"/>
      <c r="E137" s="30">
        <v>83797.45492</v>
      </c>
      <c r="F137" s="30"/>
      <c r="G137" s="85"/>
      <c r="H137" s="85">
        <f>H136</f>
        <v>3.53</v>
      </c>
      <c r="I137" s="85">
        <f>I136</f>
        <v>3.53</v>
      </c>
      <c r="J137" s="30">
        <f>J136</f>
        <v>80053.7</v>
      </c>
      <c r="L137" s="137">
        <f t="shared" si="0"/>
        <v>3743.7549200000067</v>
      </c>
    </row>
    <row r="138" spans="2:12" ht="15" customHeight="1">
      <c r="B138" s="175"/>
      <c r="C138" s="44" t="s">
        <v>142</v>
      </c>
      <c r="D138" s="31"/>
      <c r="E138" s="30">
        <f>E135+E137</f>
        <v>143521.28136</v>
      </c>
      <c r="F138" s="30"/>
      <c r="G138" s="85"/>
      <c r="H138" s="85">
        <f>SUM(H135+H137)</f>
        <v>17.942999999999998</v>
      </c>
      <c r="I138" s="85">
        <f>SUM(I135+I137)</f>
        <v>17.942999999999998</v>
      </c>
      <c r="J138" s="30">
        <f>J135+J137</f>
        <v>139329.88</v>
      </c>
      <c r="L138" s="137"/>
    </row>
    <row r="139" spans="2:12" ht="14.25" customHeight="1">
      <c r="B139" s="174" t="s">
        <v>227</v>
      </c>
      <c r="C139" s="51" t="s">
        <v>143</v>
      </c>
      <c r="D139" s="32" t="s">
        <v>116</v>
      </c>
      <c r="E139" s="29">
        <v>38470.37</v>
      </c>
      <c r="F139" s="29"/>
      <c r="G139" s="88"/>
      <c r="H139" s="88">
        <v>6.057</v>
      </c>
      <c r="I139" s="88">
        <v>6.057</v>
      </c>
      <c r="J139" s="29">
        <v>38470.37</v>
      </c>
      <c r="K139" s="22">
        <v>1</v>
      </c>
      <c r="L139" s="137">
        <f t="shared" si="0"/>
        <v>0</v>
      </c>
    </row>
    <row r="140" spans="2:12" ht="15" customHeight="1">
      <c r="B140" s="180"/>
      <c r="C140" s="57" t="s">
        <v>144</v>
      </c>
      <c r="D140" s="46" t="s">
        <v>145</v>
      </c>
      <c r="E140" s="29">
        <v>35170.9426</v>
      </c>
      <c r="F140" s="29"/>
      <c r="G140" s="88"/>
      <c r="H140" s="88">
        <v>14</v>
      </c>
      <c r="I140" s="88">
        <v>14</v>
      </c>
      <c r="J140" s="29">
        <v>35170.9426</v>
      </c>
      <c r="K140" s="22">
        <v>1</v>
      </c>
      <c r="L140" s="137">
        <f t="shared" si="0"/>
        <v>0</v>
      </c>
    </row>
    <row r="141" spans="2:12" ht="24" customHeight="1" hidden="1">
      <c r="B141" s="180"/>
      <c r="C141" s="64" t="s">
        <v>146</v>
      </c>
      <c r="D141" s="71"/>
      <c r="E141" s="29"/>
      <c r="F141" s="29"/>
      <c r="G141" s="88"/>
      <c r="H141" s="88"/>
      <c r="I141" s="88"/>
      <c r="J141" s="29"/>
      <c r="L141" s="137">
        <f t="shared" si="0"/>
        <v>0</v>
      </c>
    </row>
    <row r="142" spans="2:12" ht="12.75" customHeight="1" hidden="1">
      <c r="B142" s="180"/>
      <c r="C142" s="37" t="s">
        <v>72</v>
      </c>
      <c r="D142" s="31"/>
      <c r="E142" s="30">
        <f>SUM(E139:E141)</f>
        <v>73641.3126</v>
      </c>
      <c r="F142" s="30"/>
      <c r="G142" s="85"/>
      <c r="H142" s="85">
        <f>SUM(H139:H141)</f>
        <v>20.057000000000002</v>
      </c>
      <c r="I142" s="85">
        <f>SUM(I139:I141)</f>
        <v>20.057000000000002</v>
      </c>
      <c r="J142" s="30">
        <f>SUM(J139:J141)</f>
        <v>73641.3126</v>
      </c>
      <c r="L142" s="137">
        <f t="shared" si="0"/>
        <v>0</v>
      </c>
    </row>
    <row r="143" spans="2:12" ht="24" customHeight="1" hidden="1">
      <c r="B143" s="180"/>
      <c r="C143" s="38" t="s">
        <v>147</v>
      </c>
      <c r="D143" s="31"/>
      <c r="E143" s="30"/>
      <c r="F143" s="30"/>
      <c r="G143" s="85"/>
      <c r="H143" s="85"/>
      <c r="I143" s="85"/>
      <c r="J143" s="30"/>
      <c r="L143" s="137">
        <f t="shared" si="0"/>
        <v>0</v>
      </c>
    </row>
    <row r="144" spans="2:12" ht="12.75" customHeight="1" hidden="1">
      <c r="B144" s="180"/>
      <c r="C144" s="70" t="s">
        <v>72</v>
      </c>
      <c r="D144" s="31"/>
      <c r="E144" s="30"/>
      <c r="F144" s="30"/>
      <c r="G144" s="85"/>
      <c r="H144" s="85"/>
      <c r="I144" s="85"/>
      <c r="J144" s="30"/>
      <c r="L144" s="137">
        <f t="shared" si="0"/>
        <v>0</v>
      </c>
    </row>
    <row r="145" spans="2:12" ht="12" customHeight="1">
      <c r="B145" s="175"/>
      <c r="C145" s="44" t="s">
        <v>148</v>
      </c>
      <c r="D145" s="31"/>
      <c r="E145" s="30">
        <f>SUM(E142)</f>
        <v>73641.3126</v>
      </c>
      <c r="F145" s="30"/>
      <c r="G145" s="85"/>
      <c r="H145" s="85">
        <f>SUM(H142)</f>
        <v>20.057000000000002</v>
      </c>
      <c r="I145" s="85">
        <f>SUM(I142)</f>
        <v>20.057000000000002</v>
      </c>
      <c r="J145" s="30">
        <f>SUM(J142)</f>
        <v>73641.3126</v>
      </c>
      <c r="L145" s="137"/>
    </row>
    <row r="146" spans="2:12" ht="12.75" customHeight="1" hidden="1">
      <c r="B146" s="181" t="s">
        <v>149</v>
      </c>
      <c r="C146" s="57"/>
      <c r="D146" s="231"/>
      <c r="E146" s="111"/>
      <c r="F146" s="111"/>
      <c r="G146" s="92"/>
      <c r="H146" s="92"/>
      <c r="I146" s="92"/>
      <c r="J146" s="111"/>
      <c r="L146" s="137">
        <f t="shared" si="0"/>
        <v>0</v>
      </c>
    </row>
    <row r="147" spans="2:12" ht="36" customHeight="1" hidden="1">
      <c r="B147" s="182"/>
      <c r="C147" s="57" t="s">
        <v>150</v>
      </c>
      <c r="D147" s="232"/>
      <c r="E147" s="111"/>
      <c r="F147" s="111"/>
      <c r="G147" s="92"/>
      <c r="H147" s="92"/>
      <c r="I147" s="92"/>
      <c r="J147" s="111"/>
      <c r="L147" s="137">
        <f t="shared" si="0"/>
        <v>0</v>
      </c>
    </row>
    <row r="148" spans="2:12" ht="12.75" customHeight="1" hidden="1">
      <c r="B148" s="182"/>
      <c r="C148" s="37" t="s">
        <v>72</v>
      </c>
      <c r="D148" s="72"/>
      <c r="E148" s="112"/>
      <c r="F148" s="112"/>
      <c r="G148" s="98"/>
      <c r="H148" s="98"/>
      <c r="I148" s="98"/>
      <c r="J148" s="112"/>
      <c r="L148" s="137">
        <f t="shared" si="0"/>
        <v>0</v>
      </c>
    </row>
    <row r="149" spans="2:12" ht="12.75" customHeight="1" hidden="1">
      <c r="B149" s="183"/>
      <c r="C149" s="44" t="s">
        <v>151</v>
      </c>
      <c r="D149" s="31"/>
      <c r="E149" s="30"/>
      <c r="F149" s="30"/>
      <c r="G149" s="85"/>
      <c r="H149" s="85"/>
      <c r="I149" s="85"/>
      <c r="J149" s="30"/>
      <c r="L149" s="137">
        <f t="shared" si="0"/>
        <v>0</v>
      </c>
    </row>
    <row r="150" spans="2:12" ht="12.75" customHeight="1" hidden="1">
      <c r="B150" s="18" t="s">
        <v>66</v>
      </c>
      <c r="C150" s="40"/>
      <c r="D150" s="225" t="s">
        <v>22</v>
      </c>
      <c r="E150" s="114"/>
      <c r="F150" s="114"/>
      <c r="G150" s="93"/>
      <c r="H150" s="93"/>
      <c r="I150" s="93"/>
      <c r="J150" s="114"/>
      <c r="L150" s="137">
        <f t="shared" si="0"/>
        <v>0</v>
      </c>
    </row>
    <row r="151" spans="2:12" ht="18.75" customHeight="1">
      <c r="B151" s="174" t="s">
        <v>244</v>
      </c>
      <c r="C151" s="40" t="s">
        <v>152</v>
      </c>
      <c r="D151" s="226"/>
      <c r="E151" s="114">
        <v>79215.28</v>
      </c>
      <c r="F151" s="114"/>
      <c r="G151" s="142"/>
      <c r="H151" s="142">
        <v>6.94</v>
      </c>
      <c r="I151" s="142">
        <v>6.94</v>
      </c>
      <c r="J151" s="114">
        <v>79215.28</v>
      </c>
      <c r="K151" s="22">
        <v>1</v>
      </c>
      <c r="L151" s="137">
        <f t="shared" si="0"/>
        <v>0</v>
      </c>
    </row>
    <row r="152" spans="2:12" ht="24" customHeight="1" hidden="1">
      <c r="B152" s="180"/>
      <c r="C152" s="64" t="s">
        <v>153</v>
      </c>
      <c r="D152" s="226"/>
      <c r="E152" s="114"/>
      <c r="F152" s="114"/>
      <c r="G152" s="93"/>
      <c r="H152" s="93"/>
      <c r="I152" s="93"/>
      <c r="J152" s="114"/>
      <c r="L152" s="137">
        <f t="shared" si="0"/>
        <v>0</v>
      </c>
    </row>
    <row r="153" spans="2:12" ht="48" customHeight="1" hidden="1">
      <c r="B153" s="180"/>
      <c r="C153" s="64" t="s">
        <v>154</v>
      </c>
      <c r="D153" s="226"/>
      <c r="E153" s="114"/>
      <c r="F153" s="114"/>
      <c r="G153" s="93"/>
      <c r="H153" s="93"/>
      <c r="I153" s="93"/>
      <c r="J153" s="114"/>
      <c r="L153" s="137">
        <f t="shared" si="0"/>
        <v>0</v>
      </c>
    </row>
    <row r="154" spans="2:12" ht="24" customHeight="1" hidden="1">
      <c r="B154" s="180"/>
      <c r="C154" s="64" t="s">
        <v>155</v>
      </c>
      <c r="D154" s="226"/>
      <c r="E154" s="114"/>
      <c r="F154" s="114"/>
      <c r="G154" s="93"/>
      <c r="H154" s="93"/>
      <c r="I154" s="93"/>
      <c r="J154" s="114"/>
      <c r="L154" s="137">
        <f t="shared" si="0"/>
        <v>0</v>
      </c>
    </row>
    <row r="155" spans="2:12" ht="24" customHeight="1" hidden="1">
      <c r="B155" s="180"/>
      <c r="C155" s="64" t="s">
        <v>156</v>
      </c>
      <c r="D155" s="226"/>
      <c r="E155" s="114"/>
      <c r="F155" s="114"/>
      <c r="G155" s="93"/>
      <c r="H155" s="93"/>
      <c r="I155" s="93"/>
      <c r="J155" s="114"/>
      <c r="L155" s="137">
        <f t="shared" si="0"/>
        <v>0</v>
      </c>
    </row>
    <row r="156" spans="2:12" ht="24" customHeight="1" hidden="1">
      <c r="B156" s="180"/>
      <c r="C156" s="64" t="s">
        <v>157</v>
      </c>
      <c r="D156" s="227"/>
      <c r="E156" s="114"/>
      <c r="F156" s="114"/>
      <c r="G156" s="93"/>
      <c r="H156" s="93"/>
      <c r="I156" s="93"/>
      <c r="J156" s="114"/>
      <c r="L156" s="137">
        <f t="shared" si="0"/>
        <v>0</v>
      </c>
    </row>
    <row r="157" spans="2:12" ht="12.75" customHeight="1" hidden="1">
      <c r="B157" s="180"/>
      <c r="C157" s="37" t="s">
        <v>72</v>
      </c>
      <c r="D157" s="31"/>
      <c r="E157" s="115">
        <f>SUM(E148:E154)</f>
        <v>79215.28</v>
      </c>
      <c r="F157" s="115"/>
      <c r="G157" s="87"/>
      <c r="H157" s="87">
        <f>SUM(H148:H154)</f>
        <v>6.94</v>
      </c>
      <c r="I157" s="87">
        <f>SUM(I148:I154)</f>
        <v>6.94</v>
      </c>
      <c r="J157" s="115">
        <f>SUM(J148:J154)</f>
        <v>79215.28</v>
      </c>
      <c r="L157" s="137">
        <f t="shared" si="0"/>
        <v>0</v>
      </c>
    </row>
    <row r="158" spans="2:12" ht="19.5" customHeight="1">
      <c r="B158" s="180"/>
      <c r="C158" s="40" t="s">
        <v>33</v>
      </c>
      <c r="D158" s="200" t="s">
        <v>21</v>
      </c>
      <c r="E158" s="114">
        <v>7837.20483</v>
      </c>
      <c r="F158" s="114"/>
      <c r="G158" s="93"/>
      <c r="H158" s="93">
        <v>0.311</v>
      </c>
      <c r="I158" s="93">
        <v>0.311</v>
      </c>
      <c r="J158" s="114">
        <v>7688.88</v>
      </c>
      <c r="K158" s="22">
        <v>1</v>
      </c>
      <c r="L158" s="137">
        <f t="shared" si="0"/>
        <v>148.32482999999957</v>
      </c>
    </row>
    <row r="159" spans="2:12" ht="15" customHeight="1">
      <c r="B159" s="180"/>
      <c r="C159" s="38" t="s">
        <v>158</v>
      </c>
      <c r="D159" s="202"/>
      <c r="E159" s="113">
        <v>72981.08964</v>
      </c>
      <c r="F159" s="113"/>
      <c r="G159" s="93"/>
      <c r="H159" s="93">
        <v>6.5</v>
      </c>
      <c r="I159" s="93">
        <v>6.5</v>
      </c>
      <c r="J159" s="113">
        <v>69588.9</v>
      </c>
      <c r="K159" s="22">
        <v>1</v>
      </c>
      <c r="L159" s="137">
        <f t="shared" si="0"/>
        <v>3392.1896400000114</v>
      </c>
    </row>
    <row r="160" spans="2:12" ht="12.75" customHeight="1" hidden="1">
      <c r="B160" s="180"/>
      <c r="C160" s="37" t="s">
        <v>72</v>
      </c>
      <c r="D160" s="34"/>
      <c r="E160" s="115">
        <f>SUM(E158:E159)</f>
        <v>80818.29447000001</v>
      </c>
      <c r="F160" s="115"/>
      <c r="G160" s="94"/>
      <c r="H160" s="94">
        <f>SUM(H158:H159)</f>
        <v>6.811</v>
      </c>
      <c r="I160" s="94">
        <f>SUM(I158:I159)</f>
        <v>6.811</v>
      </c>
      <c r="J160" s="115">
        <f>SUM(J158:J159)</f>
        <v>77277.78</v>
      </c>
      <c r="L160" s="137">
        <f t="shared" si="0"/>
        <v>3540.514470000009</v>
      </c>
    </row>
    <row r="161" spans="2:12" ht="12.75">
      <c r="B161" s="180"/>
      <c r="C161" s="38" t="s">
        <v>159</v>
      </c>
      <c r="D161" s="46" t="s">
        <v>160</v>
      </c>
      <c r="E161" s="113">
        <v>5090.62266</v>
      </c>
      <c r="F161" s="113"/>
      <c r="G161" s="87"/>
      <c r="H161" s="87"/>
      <c r="I161" s="113">
        <v>0</v>
      </c>
      <c r="J161" s="113">
        <v>0</v>
      </c>
      <c r="K161" s="165">
        <v>1</v>
      </c>
      <c r="L161" s="137"/>
    </row>
    <row r="162" spans="2:12" ht="24" customHeight="1" hidden="1">
      <c r="B162" s="180"/>
      <c r="C162" s="38" t="s">
        <v>161</v>
      </c>
      <c r="D162" s="200"/>
      <c r="E162" s="115"/>
      <c r="F162" s="115"/>
      <c r="G162" s="87"/>
      <c r="H162" s="87"/>
      <c r="I162" s="87"/>
      <c r="J162" s="115"/>
      <c r="L162" s="137">
        <f t="shared" si="0"/>
        <v>0</v>
      </c>
    </row>
    <row r="163" spans="2:12" ht="24" customHeight="1" hidden="1">
      <c r="B163" s="180"/>
      <c r="C163" s="38" t="s">
        <v>158</v>
      </c>
      <c r="D163" s="202"/>
      <c r="E163" s="115"/>
      <c r="F163" s="115"/>
      <c r="G163" s="87"/>
      <c r="H163" s="87"/>
      <c r="I163" s="87"/>
      <c r="J163" s="115"/>
      <c r="L163" s="137">
        <f t="shared" si="0"/>
        <v>0</v>
      </c>
    </row>
    <row r="164" spans="2:12" ht="12.75" customHeight="1" hidden="1">
      <c r="B164" s="180"/>
      <c r="C164" s="37" t="s">
        <v>72</v>
      </c>
      <c r="D164" s="63"/>
      <c r="E164" s="115"/>
      <c r="F164" s="115"/>
      <c r="G164" s="99"/>
      <c r="H164" s="99"/>
      <c r="I164" s="99"/>
      <c r="J164" s="115"/>
      <c r="L164" s="137">
        <f t="shared" si="0"/>
        <v>0</v>
      </c>
    </row>
    <row r="165" spans="2:12" ht="14.25" customHeight="1">
      <c r="B165" s="175"/>
      <c r="C165" s="44" t="s">
        <v>162</v>
      </c>
      <c r="D165" s="31"/>
      <c r="E165" s="116">
        <f>E160+E161+E157</f>
        <v>165124.19713</v>
      </c>
      <c r="F165" s="116"/>
      <c r="G165" s="85"/>
      <c r="H165" s="85">
        <f>H157+H160+H161</f>
        <v>13.751000000000001</v>
      </c>
      <c r="I165" s="85">
        <f>I157+I160+I161</f>
        <v>13.751000000000001</v>
      </c>
      <c r="J165" s="116">
        <f>J160+J161+J157</f>
        <v>156493.06</v>
      </c>
      <c r="L165" s="137">
        <f t="shared" si="0"/>
        <v>8631.137129999988</v>
      </c>
    </row>
    <row r="166" spans="2:12" ht="24" customHeight="1" hidden="1">
      <c r="B166" s="18" t="s">
        <v>163</v>
      </c>
      <c r="C166" s="57" t="s">
        <v>164</v>
      </c>
      <c r="D166" s="225" t="s">
        <v>165</v>
      </c>
      <c r="E166" s="29"/>
      <c r="F166" s="29"/>
      <c r="G166" s="140"/>
      <c r="H166" s="86"/>
      <c r="I166" s="140"/>
      <c r="J166" s="29"/>
      <c r="L166" s="137">
        <f t="shared" si="0"/>
        <v>0</v>
      </c>
    </row>
    <row r="167" spans="2:12" ht="24">
      <c r="B167" s="174" t="s">
        <v>245</v>
      </c>
      <c r="C167" s="57" t="s">
        <v>166</v>
      </c>
      <c r="D167" s="227"/>
      <c r="E167" s="29">
        <v>107662.8</v>
      </c>
      <c r="F167" s="29"/>
      <c r="G167" s="89"/>
      <c r="H167" s="89">
        <v>36.05</v>
      </c>
      <c r="I167" s="89">
        <v>36.05</v>
      </c>
      <c r="J167" s="29">
        <v>107662.8</v>
      </c>
      <c r="K167" s="22">
        <v>1</v>
      </c>
      <c r="L167" s="137">
        <f t="shared" si="0"/>
        <v>0</v>
      </c>
    </row>
    <row r="168" spans="2:12" ht="12.75" customHeight="1" hidden="1">
      <c r="B168" s="180"/>
      <c r="C168" s="37" t="s">
        <v>72</v>
      </c>
      <c r="D168" s="34"/>
      <c r="E168" s="30">
        <f>SUM(E166:E167)</f>
        <v>107662.8</v>
      </c>
      <c r="F168" s="30"/>
      <c r="G168" s="87"/>
      <c r="H168" s="87">
        <f>SUM(H167)</f>
        <v>36.05</v>
      </c>
      <c r="I168" s="87">
        <f>SUM(I167)</f>
        <v>36.05</v>
      </c>
      <c r="J168" s="30">
        <f>SUM(J166:J167)</f>
        <v>107662.8</v>
      </c>
      <c r="L168" s="137">
        <f t="shared" si="0"/>
        <v>0</v>
      </c>
    </row>
    <row r="169" spans="2:12" ht="17.25" customHeight="1">
      <c r="B169" s="180"/>
      <c r="C169" s="38" t="s">
        <v>167</v>
      </c>
      <c r="D169" s="46" t="s">
        <v>81</v>
      </c>
      <c r="E169" s="29">
        <v>43358.0424</v>
      </c>
      <c r="F169" s="29"/>
      <c r="G169" s="88"/>
      <c r="H169" s="88">
        <v>3.229</v>
      </c>
      <c r="I169" s="88">
        <v>3.229</v>
      </c>
      <c r="J169" s="29">
        <v>43358.0424</v>
      </c>
      <c r="K169" s="22">
        <v>1</v>
      </c>
      <c r="L169" s="137">
        <f t="shared" si="0"/>
        <v>0</v>
      </c>
    </row>
    <row r="170" spans="2:12" ht="12.75" customHeight="1" hidden="1">
      <c r="B170" s="180"/>
      <c r="C170" s="37" t="s">
        <v>72</v>
      </c>
      <c r="D170" s="34"/>
      <c r="E170" s="30">
        <v>43358.0424</v>
      </c>
      <c r="F170" s="30"/>
      <c r="G170" s="87"/>
      <c r="H170" s="87">
        <f>SUM(H169)</f>
        <v>3.229</v>
      </c>
      <c r="I170" s="87">
        <f>SUM(I169)</f>
        <v>3.229</v>
      </c>
      <c r="J170" s="30">
        <v>43358.0424</v>
      </c>
      <c r="L170" s="137">
        <f t="shared" si="0"/>
        <v>0</v>
      </c>
    </row>
    <row r="171" spans="2:12" ht="14.25" customHeight="1">
      <c r="B171" s="175"/>
      <c r="C171" s="44" t="s">
        <v>168</v>
      </c>
      <c r="D171" s="34"/>
      <c r="E171" s="30">
        <f>E168+E170</f>
        <v>151020.8424</v>
      </c>
      <c r="F171" s="30"/>
      <c r="G171" s="85"/>
      <c r="H171" s="85">
        <f>H168+H170</f>
        <v>39.278999999999996</v>
      </c>
      <c r="I171" s="85">
        <f>I168+I170</f>
        <v>39.278999999999996</v>
      </c>
      <c r="J171" s="30">
        <f>J168+J170</f>
        <v>151020.8424</v>
      </c>
      <c r="L171" s="137"/>
    </row>
    <row r="172" spans="2:12" ht="36" customHeight="1" hidden="1">
      <c r="B172" s="181" t="s">
        <v>169</v>
      </c>
      <c r="C172" s="57" t="s">
        <v>170</v>
      </c>
      <c r="D172" s="200"/>
      <c r="E172" s="117"/>
      <c r="F172" s="117"/>
      <c r="G172" s="95"/>
      <c r="H172" s="95"/>
      <c r="I172" s="95"/>
      <c r="J172" s="117"/>
      <c r="L172" s="137">
        <f t="shared" si="0"/>
        <v>0</v>
      </c>
    </row>
    <row r="173" spans="2:12" ht="12.75" customHeight="1" hidden="1">
      <c r="B173" s="182"/>
      <c r="C173" s="57" t="s">
        <v>171</v>
      </c>
      <c r="D173" s="201"/>
      <c r="E173" s="117"/>
      <c r="F173" s="117"/>
      <c r="G173" s="95"/>
      <c r="H173" s="95"/>
      <c r="I173" s="95"/>
      <c r="J173" s="117"/>
      <c r="L173" s="137">
        <f t="shared" si="0"/>
        <v>0</v>
      </c>
    </row>
    <row r="174" spans="2:12" ht="12.75" customHeight="1" hidden="1">
      <c r="B174" s="182"/>
      <c r="C174" s="73" t="s">
        <v>172</v>
      </c>
      <c r="D174" s="202"/>
      <c r="E174" s="117"/>
      <c r="F174" s="117"/>
      <c r="G174" s="95"/>
      <c r="H174" s="95"/>
      <c r="I174" s="95"/>
      <c r="J174" s="117"/>
      <c r="L174" s="137">
        <f t="shared" si="0"/>
        <v>0</v>
      </c>
    </row>
    <row r="175" spans="2:12" ht="12.75" customHeight="1" hidden="1">
      <c r="B175" s="182"/>
      <c r="C175" s="42" t="s">
        <v>72</v>
      </c>
      <c r="D175" s="32"/>
      <c r="E175" s="118"/>
      <c r="F175" s="118"/>
      <c r="G175" s="96"/>
      <c r="H175" s="96"/>
      <c r="I175" s="96"/>
      <c r="J175" s="118"/>
      <c r="L175" s="137">
        <f t="shared" si="0"/>
        <v>0</v>
      </c>
    </row>
    <row r="176" spans="2:12" ht="12.75" customHeight="1" hidden="1">
      <c r="B176" s="183"/>
      <c r="C176" s="37" t="s">
        <v>173</v>
      </c>
      <c r="D176" s="74"/>
      <c r="E176" s="116"/>
      <c r="F176" s="116"/>
      <c r="G176" s="87"/>
      <c r="H176" s="87"/>
      <c r="I176" s="87"/>
      <c r="J176" s="116"/>
      <c r="L176" s="137">
        <f t="shared" si="0"/>
        <v>0</v>
      </c>
    </row>
    <row r="177" spans="2:12" ht="15.75" customHeight="1">
      <c r="B177" s="174" t="s">
        <v>240</v>
      </c>
      <c r="C177" s="57" t="s">
        <v>174</v>
      </c>
      <c r="D177" s="200" t="s">
        <v>20</v>
      </c>
      <c r="E177" s="119">
        <v>35824.3</v>
      </c>
      <c r="F177" s="141"/>
      <c r="G177" s="140"/>
      <c r="H177" s="86">
        <v>4.4</v>
      </c>
      <c r="I177" s="140">
        <v>4.4</v>
      </c>
      <c r="J177" s="141">
        <v>35824.3</v>
      </c>
      <c r="K177" s="22">
        <v>1</v>
      </c>
      <c r="L177" s="137">
        <f aca="true" t="shared" si="1" ref="L177:L196">E177-J177</f>
        <v>0</v>
      </c>
    </row>
    <row r="178" spans="2:12" ht="36" customHeight="1" hidden="1">
      <c r="B178" s="180"/>
      <c r="C178" s="57" t="s">
        <v>175</v>
      </c>
      <c r="D178" s="202"/>
      <c r="E178" s="119"/>
      <c r="F178" s="141"/>
      <c r="G178" s="140"/>
      <c r="H178" s="86"/>
      <c r="I178" s="140"/>
      <c r="J178" s="141"/>
      <c r="L178" s="137">
        <f t="shared" si="1"/>
        <v>0</v>
      </c>
    </row>
    <row r="179" spans="2:12" ht="12.75" customHeight="1" hidden="1">
      <c r="B179" s="180"/>
      <c r="C179" s="37" t="s">
        <v>72</v>
      </c>
      <c r="D179" s="31"/>
      <c r="E179" s="116">
        <f>SUM(E177:E178)</f>
        <v>35824.3</v>
      </c>
      <c r="F179" s="116"/>
      <c r="G179" s="87"/>
      <c r="H179" s="87">
        <f>SUM(H177:H178)</f>
        <v>4.4</v>
      </c>
      <c r="I179" s="87">
        <f>SUM(I177:I178)</f>
        <v>4.4</v>
      </c>
      <c r="J179" s="116">
        <f>SUM(J177:J178)</f>
        <v>35824.3</v>
      </c>
      <c r="L179" s="137">
        <f t="shared" si="1"/>
        <v>0</v>
      </c>
    </row>
    <row r="180" spans="2:12" ht="48" customHeight="1" hidden="1">
      <c r="B180" s="180"/>
      <c r="C180" s="38" t="s">
        <v>176</v>
      </c>
      <c r="D180" s="31"/>
      <c r="E180" s="116"/>
      <c r="F180" s="116"/>
      <c r="G180" s="87"/>
      <c r="H180" s="87"/>
      <c r="I180" s="87"/>
      <c r="J180" s="116"/>
      <c r="L180" s="137">
        <f t="shared" si="1"/>
        <v>0</v>
      </c>
    </row>
    <row r="181" spans="2:12" ht="12.75" customHeight="1" hidden="1">
      <c r="B181" s="180"/>
      <c r="C181" s="37" t="s">
        <v>72</v>
      </c>
      <c r="D181" s="31"/>
      <c r="E181" s="116"/>
      <c r="F181" s="116"/>
      <c r="G181" s="87"/>
      <c r="H181" s="87"/>
      <c r="I181" s="87"/>
      <c r="J181" s="116"/>
      <c r="L181" s="137">
        <f t="shared" si="1"/>
        <v>0</v>
      </c>
    </row>
    <row r="182" spans="2:12" ht="12.75">
      <c r="B182" s="175"/>
      <c r="C182" s="37" t="s">
        <v>177</v>
      </c>
      <c r="D182" s="31"/>
      <c r="E182" s="30">
        <f>SUM(E179)</f>
        <v>35824.3</v>
      </c>
      <c r="F182" s="30"/>
      <c r="G182" s="87"/>
      <c r="H182" s="87">
        <f>H179</f>
        <v>4.4</v>
      </c>
      <c r="I182" s="87">
        <f>I179</f>
        <v>4.4</v>
      </c>
      <c r="J182" s="30">
        <f>SUM(J179)</f>
        <v>35824.3</v>
      </c>
      <c r="L182" s="137"/>
    </row>
    <row r="183" spans="2:12" ht="12.75" customHeight="1" hidden="1">
      <c r="B183" s="18" t="s">
        <v>178</v>
      </c>
      <c r="C183" s="75"/>
      <c r="D183" s="200"/>
      <c r="E183" s="29"/>
      <c r="F183" s="29"/>
      <c r="G183" s="88"/>
      <c r="H183" s="88"/>
      <c r="I183" s="88"/>
      <c r="J183" s="29"/>
      <c r="L183" s="137">
        <f t="shared" si="1"/>
        <v>0</v>
      </c>
    </row>
    <row r="184" spans="2:12" ht="12.75" customHeight="1" hidden="1">
      <c r="B184" s="18"/>
      <c r="C184" s="75"/>
      <c r="D184" s="202"/>
      <c r="E184" s="119"/>
      <c r="F184" s="141"/>
      <c r="G184" s="140"/>
      <c r="H184" s="86"/>
      <c r="I184" s="140"/>
      <c r="J184" s="141"/>
      <c r="L184" s="137">
        <f t="shared" si="1"/>
        <v>0</v>
      </c>
    </row>
    <row r="185" spans="2:12" ht="12.75" customHeight="1" hidden="1">
      <c r="B185" s="18"/>
      <c r="C185" s="76"/>
      <c r="D185" s="77"/>
      <c r="E185" s="116"/>
      <c r="F185" s="116"/>
      <c r="G185" s="87"/>
      <c r="H185" s="87"/>
      <c r="I185" s="87"/>
      <c r="J185" s="116"/>
      <c r="L185" s="137">
        <f t="shared" si="1"/>
        <v>0</v>
      </c>
    </row>
    <row r="186" spans="2:12" ht="12.75" customHeight="1">
      <c r="B186" s="174" t="s">
        <v>241</v>
      </c>
      <c r="C186" s="220" t="s">
        <v>179</v>
      </c>
      <c r="D186" s="200" t="s">
        <v>180</v>
      </c>
      <c r="E186" s="170">
        <v>96189.54</v>
      </c>
      <c r="F186" s="170"/>
      <c r="G186" s="218"/>
      <c r="H186" s="218">
        <v>9.202</v>
      </c>
      <c r="I186" s="218">
        <v>9.202</v>
      </c>
      <c r="J186" s="170">
        <v>96189.54</v>
      </c>
      <c r="K186" s="22">
        <v>1</v>
      </c>
      <c r="L186" s="137">
        <f t="shared" si="1"/>
        <v>0</v>
      </c>
    </row>
    <row r="187" spans="2:12" ht="9" customHeight="1">
      <c r="B187" s="180"/>
      <c r="C187" s="221"/>
      <c r="D187" s="201"/>
      <c r="E187" s="171"/>
      <c r="F187" s="171"/>
      <c r="G187" s="219"/>
      <c r="H187" s="219"/>
      <c r="I187" s="219"/>
      <c r="J187" s="171"/>
      <c r="L187" s="137"/>
    </row>
    <row r="188" spans="2:12" ht="12.75" customHeight="1" hidden="1">
      <c r="B188" s="180"/>
      <c r="C188" s="37" t="s">
        <v>72</v>
      </c>
      <c r="D188" s="31"/>
      <c r="E188" s="116">
        <f>SUM(E186:E186)</f>
        <v>96189.54</v>
      </c>
      <c r="F188" s="116"/>
      <c r="G188" s="87"/>
      <c r="H188" s="87">
        <f>SUM(H186:H187)</f>
        <v>9.202</v>
      </c>
      <c r="I188" s="87">
        <f>SUM(I186:I187)</f>
        <v>9.202</v>
      </c>
      <c r="J188" s="116">
        <f>SUM(J186:J186)</f>
        <v>96189.54</v>
      </c>
      <c r="L188" s="137">
        <f t="shared" si="1"/>
        <v>0</v>
      </c>
    </row>
    <row r="189" spans="2:12" ht="24" customHeight="1" hidden="1">
      <c r="B189" s="180"/>
      <c r="C189" s="78" t="s">
        <v>181</v>
      </c>
      <c r="D189" s="233"/>
      <c r="E189" s="116"/>
      <c r="F189" s="116"/>
      <c r="G189" s="87"/>
      <c r="H189" s="87"/>
      <c r="I189" s="87"/>
      <c r="J189" s="116"/>
      <c r="L189" s="137">
        <f t="shared" si="1"/>
        <v>0</v>
      </c>
    </row>
    <row r="190" spans="2:12" ht="24" customHeight="1" hidden="1">
      <c r="B190" s="180"/>
      <c r="C190" s="78" t="s">
        <v>182</v>
      </c>
      <c r="D190" s="234"/>
      <c r="E190" s="116"/>
      <c r="F190" s="116"/>
      <c r="G190" s="87"/>
      <c r="H190" s="87"/>
      <c r="I190" s="87"/>
      <c r="J190" s="116"/>
      <c r="L190" s="137">
        <f t="shared" si="1"/>
        <v>0</v>
      </c>
    </row>
    <row r="191" spans="2:12" ht="12.75" customHeight="1" hidden="1">
      <c r="B191" s="180"/>
      <c r="C191" s="37" t="s">
        <v>72</v>
      </c>
      <c r="D191" s="31"/>
      <c r="E191" s="116"/>
      <c r="F191" s="116"/>
      <c r="G191" s="87"/>
      <c r="H191" s="87"/>
      <c r="I191" s="87"/>
      <c r="J191" s="116"/>
      <c r="L191" s="137">
        <f t="shared" si="1"/>
        <v>0</v>
      </c>
    </row>
    <row r="192" spans="2:12" ht="14.25" customHeight="1">
      <c r="B192" s="175"/>
      <c r="C192" s="37" t="s">
        <v>183</v>
      </c>
      <c r="D192" s="31"/>
      <c r="E192" s="116">
        <f>E188+E185</f>
        <v>96189.54</v>
      </c>
      <c r="F192" s="116"/>
      <c r="G192" s="87"/>
      <c r="H192" s="87">
        <f>H188+H185</f>
        <v>9.202</v>
      </c>
      <c r="I192" s="87">
        <f>I188+I185</f>
        <v>9.202</v>
      </c>
      <c r="J192" s="116">
        <f>J188+J185</f>
        <v>96189.54</v>
      </c>
      <c r="L192" s="137"/>
    </row>
    <row r="193" spans="2:12" ht="27.75" customHeight="1">
      <c r="B193" s="174" t="s">
        <v>242</v>
      </c>
      <c r="C193" s="38" t="s">
        <v>184</v>
      </c>
      <c r="D193" s="32" t="s">
        <v>185</v>
      </c>
      <c r="E193" s="119">
        <v>94857.2</v>
      </c>
      <c r="F193" s="141"/>
      <c r="G193" s="87"/>
      <c r="H193" s="140" t="s">
        <v>209</v>
      </c>
      <c r="I193" s="140" t="s">
        <v>209</v>
      </c>
      <c r="J193" s="141">
        <v>93110.7</v>
      </c>
      <c r="K193" s="22">
        <v>1</v>
      </c>
      <c r="L193" s="137">
        <f t="shared" si="1"/>
        <v>1746.5</v>
      </c>
    </row>
    <row r="194" spans="2:12" ht="12.75" customHeight="1" hidden="1">
      <c r="B194" s="180"/>
      <c r="C194" s="37" t="s">
        <v>72</v>
      </c>
      <c r="D194" s="31"/>
      <c r="E194" s="116">
        <f>SUM(E193)</f>
        <v>94857.2</v>
      </c>
      <c r="F194" s="116"/>
      <c r="G194" s="87"/>
      <c r="H194" s="87"/>
      <c r="I194" s="87"/>
      <c r="J194" s="116">
        <f>SUM(J193)</f>
        <v>93110.7</v>
      </c>
      <c r="L194" s="137">
        <f t="shared" si="1"/>
        <v>1746.5</v>
      </c>
    </row>
    <row r="195" spans="2:12" ht="36" customHeight="1" hidden="1">
      <c r="B195" s="180"/>
      <c r="C195" s="79" t="s">
        <v>186</v>
      </c>
      <c r="D195" s="80"/>
      <c r="E195" s="106"/>
      <c r="F195" s="106"/>
      <c r="G195" s="82"/>
      <c r="H195" s="82"/>
      <c r="I195" s="82"/>
      <c r="J195" s="106"/>
      <c r="L195" s="137">
        <f t="shared" si="1"/>
        <v>0</v>
      </c>
    </row>
    <row r="196" spans="2:12" ht="12.75" customHeight="1" hidden="1">
      <c r="B196" s="180"/>
      <c r="C196" s="81" t="s">
        <v>72</v>
      </c>
      <c r="D196" s="82"/>
      <c r="E196" s="108">
        <f>SUM(E195)</f>
        <v>0</v>
      </c>
      <c r="F196" s="108"/>
      <c r="G196" s="72"/>
      <c r="H196" s="72">
        <f>SUM(H195)</f>
        <v>0</v>
      </c>
      <c r="I196" s="72">
        <f>SUM(I195)</f>
        <v>0</v>
      </c>
      <c r="J196" s="108">
        <f>SUM(J195)</f>
        <v>0</v>
      </c>
      <c r="L196" s="137">
        <f t="shared" si="1"/>
        <v>0</v>
      </c>
    </row>
    <row r="197" spans="2:12" ht="15" customHeight="1">
      <c r="B197" s="175"/>
      <c r="C197" s="28" t="s">
        <v>187</v>
      </c>
      <c r="D197" s="36"/>
      <c r="E197" s="30">
        <f>E194+E196</f>
        <v>94857.2</v>
      </c>
      <c r="F197" s="30"/>
      <c r="G197" s="85"/>
      <c r="H197" s="87" t="s">
        <v>209</v>
      </c>
      <c r="I197" s="87" t="s">
        <v>209</v>
      </c>
      <c r="J197" s="30">
        <f>J194+J196</f>
        <v>93110.7</v>
      </c>
      <c r="L197" s="137"/>
    </row>
    <row r="198" spans="2:12" ht="12.75" hidden="1">
      <c r="B198" s="83"/>
      <c r="C198" s="28" t="s">
        <v>188</v>
      </c>
      <c r="D198" s="84"/>
      <c r="E198" s="30">
        <f>E197+E192+E182+E171+E165+E145+E138+E124+E113+E102+E73+E68+E63</f>
        <v>2409125.4881700003</v>
      </c>
      <c r="F198" s="30"/>
      <c r="G198" s="85"/>
      <c r="H198" s="85">
        <f>H192+H182+H171+H165+H145+H138+H124+H113+H102+H73+H63+H68</f>
        <v>246.53300000000002</v>
      </c>
      <c r="I198" s="85">
        <f>I192+I182+I171+I165+I145+I138+I124+I113+I102+I73+I63+I68</f>
        <v>249.486</v>
      </c>
      <c r="J198" s="30">
        <f>J197+J192+J182+J171+J165+J145+J138+J124+J113+J102+J73+J68+J63</f>
        <v>2305648.24108</v>
      </c>
      <c r="L198" s="137"/>
    </row>
    <row r="199" spans="2:12" ht="12.75">
      <c r="B199" s="184" t="s">
        <v>192</v>
      </c>
      <c r="C199" s="185"/>
      <c r="D199" s="12"/>
      <c r="E199" s="141" t="s">
        <v>206</v>
      </c>
      <c r="F199" s="135"/>
      <c r="G199" s="127"/>
      <c r="H199" s="128"/>
      <c r="I199" s="127"/>
      <c r="J199" s="135" t="s">
        <v>210</v>
      </c>
      <c r="K199" s="22">
        <v>1</v>
      </c>
      <c r="L199" s="137"/>
    </row>
    <row r="200" spans="2:12" ht="29.25" customHeight="1">
      <c r="B200" s="186" t="s">
        <v>193</v>
      </c>
      <c r="C200" s="187"/>
      <c r="D200" s="188"/>
      <c r="E200" s="30">
        <f>E198+E199</f>
        <v>2437540.28817</v>
      </c>
      <c r="F200" s="30"/>
      <c r="G200" s="30"/>
      <c r="H200" s="30">
        <f>H198+H199</f>
        <v>246.53300000000002</v>
      </c>
      <c r="I200" s="30" t="s">
        <v>223</v>
      </c>
      <c r="J200" s="30">
        <f>J198+J199</f>
        <v>2330244.84108</v>
      </c>
      <c r="K200" s="165">
        <f>SUM(K56:K199)</f>
        <v>45</v>
      </c>
      <c r="L200" s="165">
        <f>SUM(L56:L199)</f>
        <v>116496.17739000006</v>
      </c>
    </row>
    <row r="201" spans="2:10" ht="12.75">
      <c r="B201" s="189" t="s">
        <v>194</v>
      </c>
      <c r="C201" s="190"/>
      <c r="D201" s="191"/>
      <c r="E201" s="127">
        <f>E202+E203</f>
        <v>110539.78473</v>
      </c>
      <c r="F201" s="127"/>
      <c r="G201" s="127"/>
      <c r="H201" s="128"/>
      <c r="I201" s="129">
        <f>I202+I203</f>
        <v>21.545</v>
      </c>
      <c r="J201" s="127">
        <f>J202+J203</f>
        <v>110021.00581</v>
      </c>
    </row>
    <row r="202" spans="2:10" ht="12.75">
      <c r="B202" s="174" t="s">
        <v>230</v>
      </c>
      <c r="C202" s="130" t="s">
        <v>195</v>
      </c>
      <c r="D202" s="192" t="s">
        <v>21</v>
      </c>
      <c r="E202" s="127">
        <v>18126.48473</v>
      </c>
      <c r="F202" s="127"/>
      <c r="G202" s="127"/>
      <c r="H202" s="128"/>
      <c r="I202" s="129">
        <v>0.96</v>
      </c>
      <c r="J202" s="131">
        <v>17607.7</v>
      </c>
    </row>
    <row r="203" spans="2:10" ht="26.25">
      <c r="B203" s="175"/>
      <c r="C203" s="130" t="s">
        <v>196</v>
      </c>
      <c r="D203" s="193"/>
      <c r="E203" s="127">
        <v>92413.3</v>
      </c>
      <c r="F203" s="127"/>
      <c r="G203" s="127"/>
      <c r="H203" s="128"/>
      <c r="I203" s="129">
        <v>20.585</v>
      </c>
      <c r="J203" s="131">
        <v>92413.30581</v>
      </c>
    </row>
    <row r="204" spans="2:10" ht="12.75">
      <c r="B204" s="194" t="s">
        <v>197</v>
      </c>
      <c r="C204" s="195"/>
      <c r="D204" s="195"/>
      <c r="E204" s="195"/>
      <c r="F204" s="195"/>
      <c r="G204" s="195"/>
      <c r="H204" s="195"/>
      <c r="I204" s="195"/>
      <c r="J204" s="196"/>
    </row>
    <row r="205" spans="2:10" ht="12.75">
      <c r="B205" s="174" t="s">
        <v>224</v>
      </c>
      <c r="C205" s="27" t="s">
        <v>48</v>
      </c>
      <c r="D205" s="176" t="s">
        <v>58</v>
      </c>
      <c r="E205" s="29">
        <v>4675.11988</v>
      </c>
      <c r="G205" s="29"/>
      <c r="H205" s="132"/>
      <c r="I205" s="133"/>
      <c r="J205" s="29">
        <v>4675.11988</v>
      </c>
    </row>
    <row r="206" spans="2:10" ht="12.75">
      <c r="B206" s="180"/>
      <c r="C206" s="27" t="s">
        <v>49</v>
      </c>
      <c r="D206" s="177"/>
      <c r="E206" s="29">
        <v>14435.2055</v>
      </c>
      <c r="G206" s="29"/>
      <c r="H206" s="132"/>
      <c r="I206" s="133"/>
      <c r="J206" s="29">
        <v>14435.2055</v>
      </c>
    </row>
    <row r="207" spans="2:10" ht="12.75">
      <c r="B207" s="180"/>
      <c r="C207" s="27" t="s">
        <v>50</v>
      </c>
      <c r="D207" s="177"/>
      <c r="E207" s="29">
        <v>1249.26954</v>
      </c>
      <c r="G207" s="29"/>
      <c r="H207" s="132"/>
      <c r="I207" s="133"/>
      <c r="J207" s="29">
        <v>1249.26954</v>
      </c>
    </row>
    <row r="208" spans="2:10" ht="12.75">
      <c r="B208" s="180"/>
      <c r="C208" s="27" t="s">
        <v>51</v>
      </c>
      <c r="D208" s="177"/>
      <c r="E208" s="29">
        <v>1484.68308</v>
      </c>
      <c r="G208" s="29"/>
      <c r="H208" s="132"/>
      <c r="I208" s="133"/>
      <c r="J208" s="29">
        <v>1484.68308</v>
      </c>
    </row>
    <row r="209" spans="2:10" ht="12.75">
      <c r="B209" s="180"/>
      <c r="C209" s="27" t="s">
        <v>52</v>
      </c>
      <c r="D209" s="177"/>
      <c r="E209" s="29">
        <v>374.4671</v>
      </c>
      <c r="G209" s="29"/>
      <c r="H209" s="132"/>
      <c r="I209" s="133"/>
      <c r="J209" s="29">
        <v>374.4671</v>
      </c>
    </row>
    <row r="210" spans="2:10" ht="12.75">
      <c r="B210" s="180"/>
      <c r="C210" s="27" t="s">
        <v>53</v>
      </c>
      <c r="D210" s="177"/>
      <c r="E210" s="29">
        <v>6387.31758</v>
      </c>
      <c r="G210" s="29"/>
      <c r="H210" s="132"/>
      <c r="I210" s="133"/>
      <c r="J210" s="29">
        <v>6387.31758</v>
      </c>
    </row>
    <row r="211" spans="2:10" ht="12.75">
      <c r="B211" s="175"/>
      <c r="C211" s="150" t="s">
        <v>220</v>
      </c>
      <c r="D211" s="177"/>
      <c r="E211" s="30">
        <f>SUM(E205:E210)</f>
        <v>28606.062680000003</v>
      </c>
      <c r="G211" s="30"/>
      <c r="H211" s="132"/>
      <c r="I211" s="133"/>
      <c r="J211" s="30">
        <f>SUM(J205:J210)</f>
        <v>28606.062680000003</v>
      </c>
    </row>
    <row r="212" spans="2:10" ht="12.75" customHeight="1">
      <c r="B212" s="174" t="s">
        <v>225</v>
      </c>
      <c r="C212" s="27" t="s">
        <v>54</v>
      </c>
      <c r="D212" s="177"/>
      <c r="E212" s="29">
        <v>26124.22638</v>
      </c>
      <c r="G212" s="29"/>
      <c r="H212" s="132"/>
      <c r="I212" s="133"/>
      <c r="J212" s="29">
        <v>26124.22638</v>
      </c>
    </row>
    <row r="213" spans="2:10" ht="24">
      <c r="B213" s="180"/>
      <c r="C213" s="27" t="s">
        <v>55</v>
      </c>
      <c r="D213" s="178"/>
      <c r="E213" s="29">
        <v>10492.20954</v>
      </c>
      <c r="G213" s="29"/>
      <c r="H213" s="132"/>
      <c r="I213" s="133"/>
      <c r="J213" s="29">
        <v>10390.14426</v>
      </c>
    </row>
    <row r="214" spans="2:10" ht="12.75" customHeight="1" hidden="1">
      <c r="B214" s="180"/>
      <c r="C214" s="28" t="s">
        <v>56</v>
      </c>
      <c r="D214" s="147"/>
      <c r="E214" s="30">
        <f>SUM(E205:E213)</f>
        <v>93828.56128000001</v>
      </c>
      <c r="G214" s="30"/>
      <c r="H214" s="132"/>
      <c r="I214" s="133"/>
      <c r="J214" s="30">
        <f>SUM(J205:J213)</f>
        <v>93726.49600000001</v>
      </c>
    </row>
    <row r="215" spans="2:10" ht="12.75">
      <c r="B215" s="180"/>
      <c r="C215" s="134" t="s">
        <v>198</v>
      </c>
      <c r="D215" s="179" t="s">
        <v>199</v>
      </c>
      <c r="E215" s="29">
        <v>505.47687</v>
      </c>
      <c r="G215" s="29"/>
      <c r="H215" s="132"/>
      <c r="I215" s="133"/>
      <c r="J215" s="29">
        <v>0</v>
      </c>
    </row>
    <row r="216" spans="2:10" ht="26.25">
      <c r="B216" s="180"/>
      <c r="C216" s="136" t="s">
        <v>200</v>
      </c>
      <c r="D216" s="179"/>
      <c r="E216" s="29">
        <v>2794.68637</v>
      </c>
      <c r="G216" s="29"/>
      <c r="H216" s="132"/>
      <c r="I216" s="133"/>
      <c r="J216" s="29">
        <v>0</v>
      </c>
    </row>
    <row r="217" spans="2:10" ht="12.75">
      <c r="B217" s="175"/>
      <c r="C217" s="150" t="s">
        <v>221</v>
      </c>
      <c r="D217" s="135"/>
      <c r="E217" s="30">
        <f>E212+E213+E215+E216</f>
        <v>39916.599160000005</v>
      </c>
      <c r="G217" s="29"/>
      <c r="H217" s="132"/>
      <c r="I217" s="133"/>
      <c r="J217" s="30">
        <f>J212+J213+J215+J216</f>
        <v>36514.37064</v>
      </c>
    </row>
    <row r="218" spans="2:10" ht="12.75" hidden="1">
      <c r="B218" s="172" t="s">
        <v>57</v>
      </c>
      <c r="C218" s="172"/>
      <c r="D218" s="138"/>
      <c r="E218" s="30">
        <f>E211+E217</f>
        <v>68522.66184000002</v>
      </c>
      <c r="G218" s="30"/>
      <c r="H218" s="132"/>
      <c r="I218" s="133"/>
      <c r="J218" s="30">
        <f>J211+J217</f>
        <v>65120.433320000004</v>
      </c>
    </row>
    <row r="219" spans="2:10" ht="24">
      <c r="B219" s="174" t="s">
        <v>226</v>
      </c>
      <c r="C219" s="161" t="s">
        <v>211</v>
      </c>
      <c r="D219" s="152" t="s">
        <v>219</v>
      </c>
      <c r="E219" s="154">
        <v>8321.95582</v>
      </c>
      <c r="I219" s="129"/>
      <c r="J219" s="154">
        <v>0</v>
      </c>
    </row>
    <row r="220" spans="2:10" ht="12.75">
      <c r="B220" s="175"/>
      <c r="C220" s="162" t="s">
        <v>212</v>
      </c>
      <c r="D220" s="153"/>
      <c r="E220" s="155">
        <f>E219</f>
        <v>8321.95582</v>
      </c>
      <c r="I220" s="129"/>
      <c r="J220" s="155">
        <f>J219</f>
        <v>0</v>
      </c>
    </row>
    <row r="221" spans="2:10" ht="24">
      <c r="B221" s="174" t="s">
        <v>227</v>
      </c>
      <c r="C221" s="149" t="s">
        <v>213</v>
      </c>
      <c r="D221" s="152" t="s">
        <v>219</v>
      </c>
      <c r="E221" s="156">
        <v>8951.05402</v>
      </c>
      <c r="I221" s="129"/>
      <c r="J221" s="156">
        <v>0</v>
      </c>
    </row>
    <row r="222" spans="2:10" ht="12.75">
      <c r="B222" s="175"/>
      <c r="C222" s="150" t="s">
        <v>214</v>
      </c>
      <c r="D222" s="153"/>
      <c r="E222" s="157">
        <f>E221</f>
        <v>8951.05402</v>
      </c>
      <c r="I222" s="129"/>
      <c r="J222" s="157">
        <f>J221</f>
        <v>0</v>
      </c>
    </row>
    <row r="223" spans="2:10" ht="24">
      <c r="B223" s="174" t="s">
        <v>228</v>
      </c>
      <c r="C223" s="163" t="s">
        <v>215</v>
      </c>
      <c r="D223" s="152" t="s">
        <v>219</v>
      </c>
      <c r="E223" s="158">
        <v>6258.40614</v>
      </c>
      <c r="I223" s="129"/>
      <c r="J223" s="158">
        <v>0</v>
      </c>
    </row>
    <row r="224" spans="2:10" ht="12.75">
      <c r="B224" s="175"/>
      <c r="C224" s="164" t="s">
        <v>216</v>
      </c>
      <c r="D224" s="153"/>
      <c r="E224" s="159">
        <f>E223</f>
        <v>6258.40614</v>
      </c>
      <c r="I224" s="129"/>
      <c r="J224" s="159">
        <f>J223</f>
        <v>0</v>
      </c>
    </row>
    <row r="225" spans="2:10" ht="24">
      <c r="B225" s="174" t="s">
        <v>229</v>
      </c>
      <c r="C225" s="151" t="s">
        <v>217</v>
      </c>
      <c r="D225" s="148" t="s">
        <v>5</v>
      </c>
      <c r="E225" s="157">
        <v>3359.74656</v>
      </c>
      <c r="I225" s="129"/>
      <c r="J225" s="157">
        <v>3359.74656</v>
      </c>
    </row>
    <row r="226" spans="2:10" ht="12.75">
      <c r="B226" s="175"/>
      <c r="C226" s="146" t="s">
        <v>218</v>
      </c>
      <c r="D226" s="145"/>
      <c r="E226" s="160">
        <f>E225</f>
        <v>3359.74656</v>
      </c>
      <c r="I226" s="129"/>
      <c r="J226" s="157">
        <f>J225</f>
        <v>3359.74656</v>
      </c>
    </row>
    <row r="227" spans="2:10" ht="12.75">
      <c r="B227" s="172" t="s">
        <v>57</v>
      </c>
      <c r="C227" s="173"/>
      <c r="D227" s="139"/>
      <c r="E227" s="160">
        <f>SUM(E211+E217+E220+E222+E224+E226)</f>
        <v>95413.82438000002</v>
      </c>
      <c r="G227" s="30">
        <f>G224+G225+G226</f>
        <v>0</v>
      </c>
      <c r="H227" s="132"/>
      <c r="I227" s="133"/>
      <c r="J227" s="157">
        <f>SUM(J211+J217+J220+J222+J224+J226)</f>
        <v>68480.17988000001</v>
      </c>
    </row>
  </sheetData>
  <sheetProtection/>
  <mergeCells count="84">
    <mergeCell ref="D77:D81"/>
    <mergeCell ref="B167:B171"/>
    <mergeCell ref="B47:B48"/>
    <mergeCell ref="I186:I187"/>
    <mergeCell ref="D189:D190"/>
    <mergeCell ref="F186:F187"/>
    <mergeCell ref="G186:G187"/>
    <mergeCell ref="D162:D163"/>
    <mergeCell ref="B186:B192"/>
    <mergeCell ref="B177:B182"/>
    <mergeCell ref="D60:D61"/>
    <mergeCell ref="D166:D167"/>
    <mergeCell ref="D114:D115"/>
    <mergeCell ref="B172:B176"/>
    <mergeCell ref="D172:D174"/>
    <mergeCell ref="D83:D87"/>
    <mergeCell ref="D104:D107"/>
    <mergeCell ref="D146:D147"/>
    <mergeCell ref="D150:D156"/>
    <mergeCell ref="D158:D159"/>
    <mergeCell ref="B74:B102"/>
    <mergeCell ref="B27:D27"/>
    <mergeCell ref="H186:H187"/>
    <mergeCell ref="D183:D184"/>
    <mergeCell ref="C186:C187"/>
    <mergeCell ref="D186:D187"/>
    <mergeCell ref="E186:E187"/>
    <mergeCell ref="D89:D96"/>
    <mergeCell ref="D109:D111"/>
    <mergeCell ref="D125:D128"/>
    <mergeCell ref="D131:D134"/>
    <mergeCell ref="B45:B46"/>
    <mergeCell ref="B53:J53"/>
    <mergeCell ref="B2:J2"/>
    <mergeCell ref="B3:J3"/>
    <mergeCell ref="B5:B7"/>
    <mergeCell ref="C5:C7"/>
    <mergeCell ref="D5:D7"/>
    <mergeCell ref="B41:B42"/>
    <mergeCell ref="I5:J6"/>
    <mergeCell ref="C10:C26"/>
    <mergeCell ref="D74:D75"/>
    <mergeCell ref="D54:D58"/>
    <mergeCell ref="D177:D178"/>
    <mergeCell ref="B52:D52"/>
    <mergeCell ref="B9:J9"/>
    <mergeCell ref="B29:J29"/>
    <mergeCell ref="B28:D28"/>
    <mergeCell ref="B56:B63"/>
    <mergeCell ref="B30:B31"/>
    <mergeCell ref="B39:B40"/>
    <mergeCell ref="B212:B217"/>
    <mergeCell ref="B205:B211"/>
    <mergeCell ref="B64:B68"/>
    <mergeCell ref="B69:B73"/>
    <mergeCell ref="E5:E7"/>
    <mergeCell ref="B51:C51"/>
    <mergeCell ref="B50:C50"/>
    <mergeCell ref="D117:D120"/>
    <mergeCell ref="B43:B44"/>
    <mergeCell ref="D98:D100"/>
    <mergeCell ref="B199:C199"/>
    <mergeCell ref="B200:D200"/>
    <mergeCell ref="B201:D201"/>
    <mergeCell ref="B202:B203"/>
    <mergeCell ref="D202:D203"/>
    <mergeCell ref="B204:J204"/>
    <mergeCell ref="B139:B145"/>
    <mergeCell ref="B151:B165"/>
    <mergeCell ref="B131:B138"/>
    <mergeCell ref="B114:B124"/>
    <mergeCell ref="B103:B113"/>
    <mergeCell ref="B146:B149"/>
    <mergeCell ref="B125:B130"/>
    <mergeCell ref="J186:J187"/>
    <mergeCell ref="B227:C227"/>
    <mergeCell ref="B219:B220"/>
    <mergeCell ref="B221:B222"/>
    <mergeCell ref="B223:B224"/>
    <mergeCell ref="B225:B226"/>
    <mergeCell ref="D205:D213"/>
    <mergeCell ref="D215:D216"/>
    <mergeCell ref="B218:C218"/>
    <mergeCell ref="B193:B197"/>
  </mergeCells>
  <printOptions/>
  <pageMargins left="0.5905511811023623" right="0.11811023622047245" top="0.15748031496062992" bottom="0.1968503937007874" header="0.1968503937007874" footer="0.0787401574803149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Анатольевна Сокол</cp:lastModifiedBy>
  <cp:lastPrinted>2016-02-01T12:07:46Z</cp:lastPrinted>
  <dcterms:created xsi:type="dcterms:W3CDTF">1996-10-08T23:32:33Z</dcterms:created>
  <dcterms:modified xsi:type="dcterms:W3CDTF">2018-06-14T06:10:10Z</dcterms:modified>
  <cp:category/>
  <cp:version/>
  <cp:contentType/>
  <cp:contentStatus/>
</cp:coreProperties>
</file>