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1580" tabRatio="478" firstSheet="1" activeTab="1"/>
  </bookViews>
  <sheets>
    <sheet name="Расход МО по ГП" sheetId="1" r:id="rId1"/>
    <sheet name="Приложение 3" sheetId="2" r:id="rId2"/>
  </sheets>
  <definedNames>
    <definedName name="_xlnm.Print_Titles" localSheetId="1">'Приложение 3'!$3:$5</definedName>
    <definedName name="_xlnm.Print_Titles" localSheetId="0">'Расход МО по ГП'!$2:$4</definedName>
  </definedNames>
  <calcPr fullCalcOnLoad="1"/>
</workbook>
</file>

<file path=xl/sharedStrings.xml><?xml version="1.0" encoding="utf-8"?>
<sst xmlns="http://schemas.openxmlformats.org/spreadsheetml/2006/main" count="701" uniqueCount="305">
  <si>
    <t>№ п/п</t>
  </si>
  <si>
    <t>Наименование муниципального образования</t>
  </si>
  <si>
    <t>г. Сосновый Бор</t>
  </si>
  <si>
    <t>Выборгский район</t>
  </si>
  <si>
    <t>Тосненский район</t>
  </si>
  <si>
    <t>Кингисеппский  район</t>
  </si>
  <si>
    <t>Кировский  район</t>
  </si>
  <si>
    <t>Ломоносовский  район</t>
  </si>
  <si>
    <t>Лодейнопольский  район</t>
  </si>
  <si>
    <t>ВСЕГО по плану</t>
  </si>
  <si>
    <t>Сосновоборский гор.округ</t>
  </si>
  <si>
    <t>Бокситогорский  район</t>
  </si>
  <si>
    <t>Волосовский  район</t>
  </si>
  <si>
    <t>Кировское г.п.</t>
  </si>
  <si>
    <t>Тихвинский  район</t>
  </si>
  <si>
    <t>Сланцевский  район</t>
  </si>
  <si>
    <t>Приозерский район</t>
  </si>
  <si>
    <t>Подпорожский  район</t>
  </si>
  <si>
    <t>Волховский  район</t>
  </si>
  <si>
    <t>Всеволожский район</t>
  </si>
  <si>
    <t>Гатчинский район</t>
  </si>
  <si>
    <t>Кингисеппский район</t>
  </si>
  <si>
    <t>Киришский  район</t>
  </si>
  <si>
    <t>Лодейнопольский район</t>
  </si>
  <si>
    <t>Ломоносовский район</t>
  </si>
  <si>
    <t>Лужский район</t>
  </si>
  <si>
    <t>ВСЕГО по Соглашениям</t>
  </si>
  <si>
    <t xml:space="preserve">ВСЕГО </t>
  </si>
  <si>
    <t>Остаток лимита от плана по бюджету</t>
  </si>
  <si>
    <t>Гатчинский р-он</t>
  </si>
  <si>
    <t>Финансирование из областного бюджета в соответствии с Соглашениями</t>
  </si>
  <si>
    <t>Расходы МО за счет средств местного бюджета</t>
  </si>
  <si>
    <t>Город Ивангород</t>
  </si>
  <si>
    <t xml:space="preserve">Кап. рем. и ремонт двор. территорий многокварт. домов, проездов к двор.территориям  </t>
  </si>
  <si>
    <t>Кап. рем. и рем.дорог, соц.знач. хар-р</t>
  </si>
  <si>
    <t xml:space="preserve">Проект-е и строительство (рек-ция)  </t>
  </si>
  <si>
    <t xml:space="preserve">Кап. рем. и ремонт авт. дорог </t>
  </si>
  <si>
    <t>ПЛАН на 2014 год  в тыс.руб.</t>
  </si>
  <si>
    <t>Лимиты финансирования на 2014 год в соответствии с заключенными Соглашениями</t>
  </si>
  <si>
    <t>Расходы МО за счет субсидий из областного бюджета</t>
  </si>
  <si>
    <t>Председатель комитета по дорожному хозяйству Ленинградской области</t>
  </si>
  <si>
    <t>М.Ю. Козьминых</t>
  </si>
  <si>
    <t>ФБ</t>
  </si>
  <si>
    <t>Перечислено в бюджеты МО без учета восстановления</t>
  </si>
  <si>
    <t xml:space="preserve">Восстановлено в 2014 году </t>
  </si>
  <si>
    <t>ВСЕГО  кассовый ОБ+МБ</t>
  </si>
  <si>
    <t>Кап. ремонт и ремонт авт. дорог, имеющих приоритетный соц.знач. хар-р</t>
  </si>
  <si>
    <t xml:space="preserve">Строительство и реконструкция  </t>
  </si>
  <si>
    <t xml:space="preserve">капитальный ремонт и ремонт автомобильных дорог общего пользования местного значения в населённых пунктах                 </t>
  </si>
  <si>
    <t xml:space="preserve"> капитальный ремонт и ремонт дворовых территорий многоквартирных домов, проездов к дворовым территориям  </t>
  </si>
  <si>
    <t xml:space="preserve">Проект-е и строительство (рек-ция) * </t>
  </si>
  <si>
    <t>МО Бокситогорское г.п.</t>
  </si>
  <si>
    <t>МО Город Пикалево</t>
  </si>
  <si>
    <t>МО Бегуницкое с.п.</t>
  </si>
  <si>
    <t>МО Беседское с.п.</t>
  </si>
  <si>
    <t>МО Большеврудское с.п.</t>
  </si>
  <si>
    <t>МО Волосовское г.п.</t>
  </si>
  <si>
    <t>МО Губаницкое с.п.</t>
  </si>
  <si>
    <t>МО Зимитицкое с.п.</t>
  </si>
  <si>
    <t>МО Изварское с.п.</t>
  </si>
  <si>
    <t>МО Калитинское с.п.</t>
  </si>
  <si>
    <t>МО Каложицкое с.п.</t>
  </si>
  <si>
    <t>МО Кикеринское с.п.</t>
  </si>
  <si>
    <t>МО Клопицкое с.п.</t>
  </si>
  <si>
    <t>МО Курское с.п.</t>
  </si>
  <si>
    <t>МО Рабитицкое с.п.</t>
  </si>
  <si>
    <t>МО Сабское с.п.</t>
  </si>
  <si>
    <t>МО Сельцовское с.п.</t>
  </si>
  <si>
    <t>МО Терпилицкое с.п.</t>
  </si>
  <si>
    <t>МО Бережковское с.п.</t>
  </si>
  <si>
    <t>МО Город Волхов</t>
  </si>
  <si>
    <t>МО Вындиноостровское с.п.</t>
  </si>
  <si>
    <t>МО Кисельнинское с.п.</t>
  </si>
  <si>
    <t>МО Колчановское с.п.</t>
  </si>
  <si>
    <t>МО Новоладожское г.п.</t>
  </si>
  <si>
    <t>МО Пашское с.п.</t>
  </si>
  <si>
    <t>МО Свирицкое с.п.</t>
  </si>
  <si>
    <t>МО Селивановское с.п.</t>
  </si>
  <si>
    <t>МО Староладожское с.п.</t>
  </si>
  <si>
    <t>МО Сясьстройское г.п.</t>
  </si>
  <si>
    <t>МО Усадищенское с.п.</t>
  </si>
  <si>
    <t>МО Хваловское с.п.</t>
  </si>
  <si>
    <t>МО Город Всеволожск</t>
  </si>
  <si>
    <t>Агалатово</t>
  </si>
  <si>
    <t>МО Дубровское г.п.</t>
  </si>
  <si>
    <t>МО Колтушское с.п.</t>
  </si>
  <si>
    <t>МО Кузьмоловское г.п.</t>
  </si>
  <si>
    <t>МО Морозовское г.п.</t>
  </si>
  <si>
    <t>МО Рахьинское г.п.</t>
  </si>
  <si>
    <t>МО Романовское с.п.</t>
  </si>
  <si>
    <t>МО Свердловское г.п.</t>
  </si>
  <si>
    <t>МО Сертолово</t>
  </si>
  <si>
    <t>МО Токсовское г.п.</t>
  </si>
  <si>
    <t>МО Щегловское с.п.</t>
  </si>
  <si>
    <t>МО Город Выборг</t>
  </si>
  <si>
    <t>МО Глебычевское с.п.</t>
  </si>
  <si>
    <t>МО Гончаровское с.п.</t>
  </si>
  <si>
    <t>МО Каменногорское г.п.</t>
  </si>
  <si>
    <t>МО Красносельское с.п.</t>
  </si>
  <si>
    <t>МО Первомайское с.п.</t>
  </si>
  <si>
    <t>МО Полянское с.п.</t>
  </si>
  <si>
    <t>МО Приморское г.п.</t>
  </si>
  <si>
    <t>МО Рощинское г.п.</t>
  </si>
  <si>
    <t>МО Светогорское г.п.</t>
  </si>
  <si>
    <t>МО Селезневское с.п.</t>
  </si>
  <si>
    <t>МО Советское г.п.</t>
  </si>
  <si>
    <t>МО Большеколпанское с.п.</t>
  </si>
  <si>
    <t>МО Веревское с.п.</t>
  </si>
  <si>
    <t>МО Войсковицкое с.п.</t>
  </si>
  <si>
    <t>МО Вырицкое г.п.</t>
  </si>
  <si>
    <t>МО Город Гатчина</t>
  </si>
  <si>
    <t>МО Дружногорское г.п.</t>
  </si>
  <si>
    <t>МО Елизаветинское с.п.</t>
  </si>
  <si>
    <t>МО Кобринское с.п.</t>
  </si>
  <si>
    <t>МО Город Коммунар</t>
  </si>
  <si>
    <t>МО Новосветское с.п.</t>
  </si>
  <si>
    <t>МО Рождественское с.п.</t>
  </si>
  <si>
    <t>МО Пудостьское с.п.</t>
  </si>
  <si>
    <t>МО Сиверское г.п.</t>
  </si>
  <si>
    <t>МО Сусанинское с.п.</t>
  </si>
  <si>
    <t>МО Сяськелевское с.п.</t>
  </si>
  <si>
    <t>МО Кингисеппское г.п.</t>
  </si>
  <si>
    <t>Ополье</t>
  </si>
  <si>
    <t>МО Нежновское с.п.</t>
  </si>
  <si>
    <t>МО Будогощское г.п.</t>
  </si>
  <si>
    <t>МО Кусинское с.п.</t>
  </si>
  <si>
    <t>МО Пчевжинское с.п.</t>
  </si>
  <si>
    <t>МО Мгинское г.п.</t>
  </si>
  <si>
    <t>МО Назиевское г.п.</t>
  </si>
  <si>
    <t>МО Павловское г.п.</t>
  </si>
  <si>
    <t>МО Приладожское г.п.</t>
  </si>
  <si>
    <t>МО Путиловское с.п.</t>
  </si>
  <si>
    <t>МО Суховское с.п.</t>
  </si>
  <si>
    <t>МО Шлиссельбургское г.п.</t>
  </si>
  <si>
    <t>МО Шумское с.п.</t>
  </si>
  <si>
    <t>МО Алеховщинское с.п.</t>
  </si>
  <si>
    <t>МО Доможировское с.п.</t>
  </si>
  <si>
    <t>МО Лодейнопольское г.п.</t>
  </si>
  <si>
    <t>МО Свирьстройское г.п.</t>
  </si>
  <si>
    <t>МО Янегское с.п.</t>
  </si>
  <si>
    <t>МО Аннинское с.п.</t>
  </si>
  <si>
    <t>МО Большеижорское г.п.</t>
  </si>
  <si>
    <t>МО Виллозское с.п.</t>
  </si>
  <si>
    <t>МО Горбунковское с.п.</t>
  </si>
  <si>
    <t>МО Гостилицкое с.п.</t>
  </si>
  <si>
    <t>МО Кипенское с.п.</t>
  </si>
  <si>
    <t>МО Копорское с.п.</t>
  </si>
  <si>
    <t>МО Лебяженское г.п.</t>
  </si>
  <si>
    <t>МО Лопухинское с.п.</t>
  </si>
  <si>
    <t>МО Низинское с.п.</t>
  </si>
  <si>
    <t>МО Оржицкое с.п.</t>
  </si>
  <si>
    <t>МО Пениковское с.п.</t>
  </si>
  <si>
    <t>МО Ропшинское с.п.</t>
  </si>
  <si>
    <t>МО Русско-Высоцкое с.п.</t>
  </si>
  <si>
    <t>МО Володарское с.п.</t>
  </si>
  <si>
    <t>МО Волошовское с.п.</t>
  </si>
  <si>
    <t>МО Дзержинское с.п.</t>
  </si>
  <si>
    <t>МО Заклинское с.п.</t>
  </si>
  <si>
    <t>МО Лужское г.п.</t>
  </si>
  <si>
    <t>МО Мшинское с.п.</t>
  </si>
  <si>
    <t>МО Оредежское с.п.</t>
  </si>
  <si>
    <t>МО Осьминское с.п.</t>
  </si>
  <si>
    <t>МО Ретюнское с.п.</t>
  </si>
  <si>
    <t>МО Серебрянское с.п.</t>
  </si>
  <si>
    <t>МО Скребловское с.п.</t>
  </si>
  <si>
    <t>МО Тёсовское с.п.</t>
  </si>
  <si>
    <t>МО Толмачевское г.п.</t>
  </si>
  <si>
    <t>МО Ям-Тёсовское с.п.</t>
  </si>
  <si>
    <t>МО Подпорожское г.п.</t>
  </si>
  <si>
    <t>МО Громовское с.п.</t>
  </si>
  <si>
    <t>МО Краснозерное с.п.</t>
  </si>
  <si>
    <t>МО Кузнечнинское</t>
  </si>
  <si>
    <t>МО Ларионовское с.п.</t>
  </si>
  <si>
    <t>МО Мельниковское с.п.</t>
  </si>
  <si>
    <t>МО Мичуринское с.п.</t>
  </si>
  <si>
    <t>МО Петровское с.п.</t>
  </si>
  <si>
    <t>МО Плодовское с.п.</t>
  </si>
  <si>
    <t>МО Приозерское г.п.</t>
  </si>
  <si>
    <t>МО  Раздольевское с.п.</t>
  </si>
  <si>
    <t>МО  Ромашкинское с.п.</t>
  </si>
  <si>
    <t>МО Севастьяновское с.п.</t>
  </si>
  <si>
    <t>Запорожское</t>
  </si>
  <si>
    <t>МО Сосновское с.п.</t>
  </si>
  <si>
    <t>МО Выскатское с.п.</t>
  </si>
  <si>
    <t>МО Гостицкое с.п.</t>
  </si>
  <si>
    <t>МО Загривское с.п.</t>
  </si>
  <si>
    <t>МО Новосельское с.п.</t>
  </si>
  <si>
    <t>МО Сланцевское г.п.</t>
  </si>
  <si>
    <t>МО Старопольское с.п.</t>
  </si>
  <si>
    <t>МО Черновское с.п.</t>
  </si>
  <si>
    <t>МО Борское с.п.</t>
  </si>
  <si>
    <t>МО Ганьковское с.п.</t>
  </si>
  <si>
    <t>МО Горское г.п.</t>
  </si>
  <si>
    <t>МО Мелегежское с.п.</t>
  </si>
  <si>
    <t>МО Пашозерское с.п.</t>
  </si>
  <si>
    <t>МО Тихвинское г.п.</t>
  </si>
  <si>
    <t>МО Цвылевское с.п.</t>
  </si>
  <si>
    <t>МО Шугозерское с.п.</t>
  </si>
  <si>
    <t>МО Красноборское г.п.</t>
  </si>
  <si>
    <t>МО Лисинское с.п.</t>
  </si>
  <si>
    <t>МО Любанское г.п.</t>
  </si>
  <si>
    <t>МО Никольское г.п.</t>
  </si>
  <si>
    <t>МО Нурминское с.п.</t>
  </si>
  <si>
    <t>МО Рябовское г.п.</t>
  </si>
  <si>
    <t>МО Тосненское г.п.</t>
  </si>
  <si>
    <t>МО Трубникоборское с.п.</t>
  </si>
  <si>
    <t>МО Фёдоровское с.п.</t>
  </si>
  <si>
    <t>МО Форносовское г.п.</t>
  </si>
  <si>
    <t>Ульяновское</t>
  </si>
  <si>
    <t>МО Шапкинское с.п.</t>
  </si>
  <si>
    <t xml:space="preserve">ИТОГО                </t>
  </si>
  <si>
    <t>ВСЕГО</t>
  </si>
  <si>
    <t>Районы</t>
  </si>
  <si>
    <t>округ</t>
  </si>
  <si>
    <t>г.п.+ с.п.</t>
  </si>
  <si>
    <t>Остаток лимита по незаключенным Соглашениям или доп.соглашениям:</t>
  </si>
  <si>
    <t>* Финансирование по строительству и реконструкции по факту выполненных работ.</t>
  </si>
  <si>
    <t>Лодейнопольский  район-ФБ</t>
  </si>
  <si>
    <t>Остаток субсидий на счете МО                                     на 01.01.2015 г.</t>
  </si>
  <si>
    <t>Отчет об использовании межбюджетных трансфертов, предоставляемых в виде субсидий бюджетам муниципальных образований Ленинградской области  по состоянию на 01.01.2015 г.                                                                             в тыс.руб.</t>
  </si>
  <si>
    <t xml:space="preserve">Процент </t>
  </si>
  <si>
    <t>Всего, в т.ч.</t>
  </si>
  <si>
    <t>Федеральный бюджет</t>
  </si>
  <si>
    <t>Областной бюджет</t>
  </si>
  <si>
    <t>Прочие источники</t>
  </si>
  <si>
    <t xml:space="preserve">Местные бюджеты </t>
  </si>
  <si>
    <t>План на  2014 год</t>
  </si>
  <si>
    <t>Фактическое финансирование программы за январь-декабрь 2014 года</t>
  </si>
  <si>
    <t>выполнено</t>
  </si>
  <si>
    <t>не выполнено</t>
  </si>
  <si>
    <t>Экономия по заключенным Соглашениям</t>
  </si>
  <si>
    <t>выполнено, экономия-57,3т.р.</t>
  </si>
  <si>
    <t>выполнено, экономия-1407,4т.р.</t>
  </si>
  <si>
    <t>выполнено, экономия- 6,7т.р.</t>
  </si>
  <si>
    <t>выполнено, экономия-155,2т.р.</t>
  </si>
  <si>
    <t>выполнено, экономия-2,8т.р.</t>
  </si>
  <si>
    <t>выполнено, экономия-101,6т.р.</t>
  </si>
  <si>
    <t>выполнено, экономия-7,9т.р.</t>
  </si>
  <si>
    <t>выполнено, экономия-86,6т.р.</t>
  </si>
  <si>
    <t>выполнено, экономия-264,3т.р.</t>
  </si>
  <si>
    <t>выполнено, экономия-87,8т.р.</t>
  </si>
  <si>
    <t>выполнено, экономия-21,9т.р.</t>
  </si>
  <si>
    <t>выполнено, экономия-2037,6т.р.</t>
  </si>
  <si>
    <t>выполнено, экономия-27,4т.р.</t>
  </si>
  <si>
    <t>выполнено, экономия-7,4т.р.</t>
  </si>
  <si>
    <t>выполнено, экономия-278,7т.р.</t>
  </si>
  <si>
    <t>выполнено, экономия-0,1т.р.</t>
  </si>
  <si>
    <t>выполнено, экономия-33,2т.р.</t>
  </si>
  <si>
    <t>выполнено, экономия-8,4т.р.</t>
  </si>
  <si>
    <t>выполнено, экономия-150,7т.р.</t>
  </si>
  <si>
    <t>выполнено, экономия-111,1т.р.</t>
  </si>
  <si>
    <t>выполнено, экономия-1467,6т.р.</t>
  </si>
  <si>
    <t>выполнено, экономия-21,0т.р.</t>
  </si>
  <si>
    <t>выполнено, экономия-16,2т.р.</t>
  </si>
  <si>
    <t>выполнено, экономия-5,5т.р.</t>
  </si>
  <si>
    <t>выполнено, экономия-123,2т.р.</t>
  </si>
  <si>
    <t>выполнено, экономия-23,6т.р.</t>
  </si>
  <si>
    <t>выполнено, экономия-119,5т.р.</t>
  </si>
  <si>
    <t>выполнено, экономия-330,1т.р.</t>
  </si>
  <si>
    <t>выполнено, экономия-43,8т.р.</t>
  </si>
  <si>
    <t>выполнено, экономия-513,9т.р.</t>
  </si>
  <si>
    <t>выполнено, экономия-219,4т.р.</t>
  </si>
  <si>
    <t>выполнено, экономия-301,8т.р.</t>
  </si>
  <si>
    <t>выполнено, экономия-138,8т.р.</t>
  </si>
  <si>
    <t>выполнено, экономия-477,9т.р.</t>
  </si>
  <si>
    <t>выполнено, экономия-138,9т.р.</t>
  </si>
  <si>
    <t>выполнено, экономия-136,8т.р.</t>
  </si>
  <si>
    <t>выполнено, экономия-74,6т.р.</t>
  </si>
  <si>
    <t>выполнено, экономия-286,5т.р.</t>
  </si>
  <si>
    <t>выполнено, экономия-113,9т.р.</t>
  </si>
  <si>
    <t>выполнено, экономия-0,7т.р.</t>
  </si>
  <si>
    <t>выполнено, экономия-31,8т.р.</t>
  </si>
  <si>
    <t>выполнено, экономия-118,4т.р.</t>
  </si>
  <si>
    <t>выполнено, экономия-150,0т.р.</t>
  </si>
  <si>
    <t>выполнено, экономия-40,0т.р.</t>
  </si>
  <si>
    <t>выполнено, экономия-49,4т.р.</t>
  </si>
  <si>
    <t>выполнено, экономия-88,4т.р.</t>
  </si>
  <si>
    <t>выполнено, экономия-47,4т.р.</t>
  </si>
  <si>
    <t>1/1</t>
  </si>
  <si>
    <t>1/2</t>
  </si>
  <si>
    <t>5/11</t>
  </si>
  <si>
    <t>2/4</t>
  </si>
  <si>
    <t>Выполнение за счет субсидий из областного бюджета по заключенным Соглашениям</t>
  </si>
  <si>
    <t>15,  экономия 582,7т.р. /17</t>
  </si>
  <si>
    <t>8, экомия 135,6т.р. / 11</t>
  </si>
  <si>
    <t>Результат  выполнения мероприятия  (кол-во:  факт, экономия ___т.р./ план.знач.)</t>
  </si>
  <si>
    <t>3, экономия 521,2т.р./4</t>
  </si>
  <si>
    <t>10, экономия 1030,9т.р. /10</t>
  </si>
  <si>
    <t>5, экономия 128,7т.р./6</t>
  </si>
  <si>
    <t>11, экономия 1775,0т.р. /11</t>
  </si>
  <si>
    <t>13, экономия 2406,3т.р. /14</t>
  </si>
  <si>
    <t>12, экономия 446,6т.р. /13</t>
  </si>
  <si>
    <t>6, экономия 101,6т.р. /6</t>
  </si>
  <si>
    <t>8, экономия 2,8т.р. /8</t>
  </si>
  <si>
    <t>9, экономия 1569,3т.р. /10</t>
  </si>
  <si>
    <t>Лодейнопольский  район (федеральный бюджет)</t>
  </si>
  <si>
    <t>*** План по расходам местного бюджета предусмотрен Соглашениями  между Комитетом и Администрациями МО.</t>
  </si>
  <si>
    <t>Выполнение за счет средств местного  бюджета по заключенным Соглашениям ***</t>
  </si>
  <si>
    <t>Расходы МО за счет средств местного бюджета ***</t>
  </si>
  <si>
    <t>Лимиты финансирования по предоставлению субсидий ва 2014 году в соответствии с заключенными Соглашениями**</t>
  </si>
  <si>
    <t xml:space="preserve">**  Соглашения с Администрациями МО заключены в соответствии со стоимос тью работ по проектно-сметной документации и соблюдением объемов долевого софинансирования за счет средств местных бюджетов, в связи с чем образовалась экономия от планового объема субсидий в сумме 12939,0 тыс.руб..
</t>
  </si>
  <si>
    <t>10,экономия 361,1т.р./11</t>
  </si>
  <si>
    <t>9, экономия 892,4т.р. /14</t>
  </si>
  <si>
    <t>129,экономия 9954,2т.р. /154</t>
  </si>
  <si>
    <t>Информация о территориальной структуре финансирования автомобильных дорог и дворовых территорий общего пользования местного значения по государственной программе "Развитие автомобильных дорог Ленинградской области" в 2014 году.                   (в тыс.руб.)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</si>
</sst>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0"/>
    <numFmt numFmtId="186" formatCode="#,##0.0"/>
    <numFmt numFmtId="187" formatCode="0.000"/>
    <numFmt numFmtId="188" formatCode="0.0%"/>
    <numFmt numFmtId="189" formatCode="0.0"/>
    <numFmt numFmtId="190" formatCode="0.00000"/>
    <numFmt numFmtId="191" formatCode="0.0000"/>
    <numFmt numFmtId="192" formatCode="0.000000"/>
    <numFmt numFmtId="193" formatCode="0.000000000"/>
    <numFmt numFmtId="194" formatCode="0.00000000"/>
    <numFmt numFmtId="195" formatCode="0.0000000"/>
    <numFmt numFmtId="196" formatCode="0.0000000000"/>
    <numFmt numFmtId="197" formatCode="0.00000000000"/>
    <numFmt numFmtId="198" formatCode="0.000%"/>
    <numFmt numFmtId="199" formatCode="0.0000%"/>
    <numFmt numFmtId="200" formatCode="#,##0.0000"/>
  </numFmts>
  <fonts count="90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Arial CYR"/>
      <family val="0"/>
    </font>
    <font>
      <b/>
      <i/>
      <sz val="9"/>
      <name val="Arial Cyr"/>
      <family val="2"/>
    </font>
    <font>
      <i/>
      <sz val="9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i/>
      <sz val="9"/>
      <color indexed="10"/>
      <name val="Arial Cyr"/>
      <family val="0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9"/>
      <color rgb="FFFF0000"/>
      <name val="Times New Roman"/>
      <family val="1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i/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185" fontId="5" fillId="33" borderId="10" xfId="0" applyNumberFormat="1" applyFont="1" applyFill="1" applyBorder="1" applyAlignment="1">
      <alignment horizontal="left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1" fontId="9" fillId="34" borderId="10" xfId="0" applyNumberFormat="1" applyFont="1" applyFill="1" applyBorder="1" applyAlignment="1">
      <alignment horizontal="center" vertical="center" wrapText="1"/>
    </xf>
    <xf numFmtId="186" fontId="5" fillId="33" borderId="11" xfId="0" applyNumberFormat="1" applyFont="1" applyFill="1" applyBorder="1" applyAlignment="1">
      <alignment horizontal="center"/>
    </xf>
    <xf numFmtId="185" fontId="6" fillId="35" borderId="10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186" fontId="3" fillId="35" borderId="11" xfId="0" applyNumberFormat="1" applyFont="1" applyFill="1" applyBorder="1" applyAlignment="1">
      <alignment horizontal="center" vertical="center" wrapText="1"/>
    </xf>
    <xf numFmtId="186" fontId="3" fillId="35" borderId="11" xfId="0" applyNumberFormat="1" applyFont="1" applyFill="1" applyBorder="1" applyAlignment="1">
      <alignment horizontal="center"/>
    </xf>
    <xf numFmtId="186" fontId="10" fillId="35" borderId="11" xfId="0" applyNumberFormat="1" applyFont="1" applyFill="1" applyBorder="1" applyAlignment="1">
      <alignment horizontal="center" vertical="center" wrapText="1"/>
    </xf>
    <xf numFmtId="186" fontId="3" fillId="35" borderId="11" xfId="0" applyNumberFormat="1" applyFont="1" applyFill="1" applyBorder="1" applyAlignment="1">
      <alignment horizontal="right"/>
    </xf>
    <xf numFmtId="186" fontId="3" fillId="35" borderId="10" xfId="0" applyNumberFormat="1" applyFont="1" applyFill="1" applyBorder="1" applyAlignment="1">
      <alignment horizontal="center" vertical="center"/>
    </xf>
    <xf numFmtId="186" fontId="3" fillId="35" borderId="10" xfId="0" applyNumberFormat="1" applyFont="1" applyFill="1" applyBorder="1" applyAlignment="1">
      <alignment horizontal="right"/>
    </xf>
    <xf numFmtId="186" fontId="3" fillId="35" borderId="10" xfId="0" applyNumberFormat="1" applyFont="1" applyFill="1" applyBorder="1" applyAlignment="1">
      <alignment horizontal="center"/>
    </xf>
    <xf numFmtId="186" fontId="3" fillId="35" borderId="12" xfId="0" applyNumberFormat="1" applyFont="1" applyFill="1" applyBorder="1" applyAlignment="1">
      <alignment horizontal="right"/>
    </xf>
    <xf numFmtId="186" fontId="5" fillId="33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center"/>
    </xf>
    <xf numFmtId="185" fontId="10" fillId="35" borderId="10" xfId="0" applyNumberFormat="1" applyFont="1" applyFill="1" applyBorder="1" applyAlignment="1">
      <alignment horizontal="left" vertical="center" wrapText="1"/>
    </xf>
    <xf numFmtId="186" fontId="5" fillId="35" borderId="10" xfId="0" applyNumberFormat="1" applyFont="1" applyFill="1" applyBorder="1" applyAlignment="1">
      <alignment horizontal="center" vertical="center" wrapText="1"/>
    </xf>
    <xf numFmtId="186" fontId="18" fillId="34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88" fontId="5" fillId="34" borderId="13" xfId="59" applyNumberFormat="1" applyFont="1" applyFill="1" applyBorder="1" applyAlignment="1">
      <alignment horizontal="center"/>
    </xf>
    <xf numFmtId="188" fontId="5" fillId="34" borderId="10" xfId="59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85" fontId="20" fillId="34" borderId="0" xfId="0" applyNumberFormat="1" applyFont="1" applyFill="1" applyBorder="1" applyAlignment="1">
      <alignment horizontal="left"/>
    </xf>
    <xf numFmtId="185" fontId="0" fillId="34" borderId="0" xfId="0" applyNumberFormat="1" applyFont="1" applyFill="1" applyBorder="1" applyAlignment="1">
      <alignment horizontal="left"/>
    </xf>
    <xf numFmtId="185" fontId="12" fillId="34" borderId="12" xfId="0" applyNumberFormat="1" applyFont="1" applyFill="1" applyBorder="1" applyAlignment="1">
      <alignment horizontal="left"/>
    </xf>
    <xf numFmtId="186" fontId="9" fillId="34" borderId="10" xfId="0" applyNumberFormat="1" applyFont="1" applyFill="1" applyBorder="1" applyAlignment="1">
      <alignment horizontal="center" vertical="center" textRotation="90" wrapText="1"/>
    </xf>
    <xf numFmtId="186" fontId="9" fillId="34" borderId="12" xfId="0" applyNumberFormat="1" applyFont="1" applyFill="1" applyBorder="1" applyAlignment="1">
      <alignment horizontal="center" vertical="center" textRotation="90" wrapText="1"/>
    </xf>
    <xf numFmtId="186" fontId="3" fillId="35" borderId="13" xfId="0" applyNumberFormat="1" applyFont="1" applyFill="1" applyBorder="1" applyAlignment="1">
      <alignment horizontal="center" vertical="center" wrapText="1"/>
    </xf>
    <xf numFmtId="186" fontId="9" fillId="34" borderId="14" xfId="0" applyNumberFormat="1" applyFont="1" applyFill="1" applyBorder="1" applyAlignment="1">
      <alignment horizontal="center" vertical="center" textRotation="90" wrapText="1"/>
    </xf>
    <xf numFmtId="186" fontId="5" fillId="33" borderId="13" xfId="0" applyNumberFormat="1" applyFont="1" applyFill="1" applyBorder="1" applyAlignment="1">
      <alignment horizontal="center"/>
    </xf>
    <xf numFmtId="186" fontId="5" fillId="33" borderId="15" xfId="0" applyNumberFormat="1" applyFont="1" applyFill="1" applyBorder="1" applyAlignment="1">
      <alignment horizontal="center"/>
    </xf>
    <xf numFmtId="186" fontId="5" fillId="33" borderId="16" xfId="0" applyNumberFormat="1" applyFont="1" applyFill="1" applyBorder="1" applyAlignment="1">
      <alignment horizontal="center"/>
    </xf>
    <xf numFmtId="186" fontId="5" fillId="35" borderId="11" xfId="0" applyNumberFormat="1" applyFont="1" applyFill="1" applyBorder="1" applyAlignment="1">
      <alignment horizontal="center" vertical="center" wrapText="1"/>
    </xf>
    <xf numFmtId="186" fontId="5" fillId="35" borderId="13" xfId="0" applyNumberFormat="1" applyFont="1" applyFill="1" applyBorder="1" applyAlignment="1">
      <alignment horizontal="center" vertical="center" wrapText="1"/>
    </xf>
    <xf numFmtId="186" fontId="5" fillId="35" borderId="15" xfId="0" applyNumberFormat="1" applyFont="1" applyFill="1" applyBorder="1" applyAlignment="1">
      <alignment horizontal="center" vertical="center" wrapText="1"/>
    </xf>
    <xf numFmtId="186" fontId="5" fillId="35" borderId="16" xfId="0" applyNumberFormat="1" applyFont="1" applyFill="1" applyBorder="1" applyAlignment="1">
      <alignment horizontal="center" vertical="center" wrapText="1"/>
    </xf>
    <xf numFmtId="186" fontId="3" fillId="35" borderId="16" xfId="0" applyNumberFormat="1" applyFont="1" applyFill="1" applyBorder="1" applyAlignment="1">
      <alignment horizontal="center" vertical="center" wrapText="1"/>
    </xf>
    <xf numFmtId="186" fontId="6" fillId="35" borderId="11" xfId="0" applyNumberFormat="1" applyFont="1" applyFill="1" applyBorder="1" applyAlignment="1">
      <alignment horizontal="center"/>
    </xf>
    <xf numFmtId="186" fontId="6" fillId="35" borderId="15" xfId="0" applyNumberFormat="1" applyFont="1" applyFill="1" applyBorder="1" applyAlignment="1">
      <alignment horizontal="center"/>
    </xf>
    <xf numFmtId="186" fontId="3" fillId="35" borderId="15" xfId="0" applyNumberFormat="1" applyFont="1" applyFill="1" applyBorder="1" applyAlignment="1">
      <alignment horizontal="center" vertical="center" wrapText="1"/>
    </xf>
    <xf numFmtId="186" fontId="3" fillId="36" borderId="11" xfId="0" applyNumberFormat="1" applyFont="1" applyFill="1" applyBorder="1" applyAlignment="1">
      <alignment horizontal="center" vertical="center" wrapText="1"/>
    </xf>
    <xf numFmtId="186" fontId="3" fillId="35" borderId="14" xfId="0" applyNumberFormat="1" applyFont="1" applyFill="1" applyBorder="1" applyAlignment="1">
      <alignment horizontal="center" vertical="center" wrapText="1"/>
    </xf>
    <xf numFmtId="186" fontId="5" fillId="35" borderId="10" xfId="0" applyNumberFormat="1" applyFont="1" applyFill="1" applyBorder="1" applyAlignment="1">
      <alignment horizontal="center"/>
    </xf>
    <xf numFmtId="186" fontId="5" fillId="35" borderId="14" xfId="0" applyNumberFormat="1" applyFont="1" applyFill="1" applyBorder="1" applyAlignment="1">
      <alignment horizontal="center" vertical="center" wrapText="1"/>
    </xf>
    <xf numFmtId="186" fontId="5" fillId="33" borderId="14" xfId="0" applyNumberFormat="1" applyFont="1" applyFill="1" applyBorder="1" applyAlignment="1">
      <alignment horizontal="center"/>
    </xf>
    <xf numFmtId="186" fontId="5" fillId="33" borderId="12" xfId="0" applyNumberFormat="1" applyFont="1" applyFill="1" applyBorder="1" applyAlignment="1">
      <alignment horizontal="center"/>
    </xf>
    <xf numFmtId="186" fontId="5" fillId="35" borderId="13" xfId="0" applyNumberFormat="1" applyFont="1" applyFill="1" applyBorder="1" applyAlignment="1">
      <alignment horizontal="center"/>
    </xf>
    <xf numFmtId="186" fontId="5" fillId="35" borderId="14" xfId="0" applyNumberFormat="1" applyFont="1" applyFill="1" applyBorder="1" applyAlignment="1">
      <alignment horizontal="center"/>
    </xf>
    <xf numFmtId="186" fontId="5" fillId="33" borderId="13" xfId="0" applyNumberFormat="1" applyFont="1" applyFill="1" applyBorder="1" applyAlignment="1">
      <alignment horizontal="center" vertical="center" wrapText="1"/>
    </xf>
    <xf numFmtId="186" fontId="5" fillId="33" borderId="14" xfId="0" applyNumberFormat="1" applyFont="1" applyFill="1" applyBorder="1" applyAlignment="1">
      <alignment horizontal="center" vertical="center" wrapText="1"/>
    </xf>
    <xf numFmtId="186" fontId="5" fillId="33" borderId="12" xfId="0" applyNumberFormat="1" applyFont="1" applyFill="1" applyBorder="1" applyAlignment="1">
      <alignment horizontal="center" vertical="center" wrapText="1"/>
    </xf>
    <xf numFmtId="186" fontId="0" fillId="34" borderId="0" xfId="0" applyNumberFormat="1" applyFont="1" applyFill="1" applyBorder="1" applyAlignment="1">
      <alignment horizontal="center"/>
    </xf>
    <xf numFmtId="186" fontId="0" fillId="34" borderId="0" xfId="0" applyNumberFormat="1" applyFont="1" applyFill="1" applyBorder="1" applyAlignment="1">
      <alignment/>
    </xf>
    <xf numFmtId="186" fontId="16" fillId="36" borderId="17" xfId="0" applyNumberFormat="1" applyFont="1" applyFill="1" applyBorder="1" applyAlignment="1">
      <alignment horizontal="center"/>
    </xf>
    <xf numFmtId="186" fontId="16" fillId="36" borderId="18" xfId="0" applyNumberFormat="1" applyFont="1" applyFill="1" applyBorder="1" applyAlignment="1">
      <alignment horizontal="center"/>
    </xf>
    <xf numFmtId="186" fontId="16" fillId="36" borderId="19" xfId="0" applyNumberFormat="1" applyFont="1" applyFill="1" applyBorder="1" applyAlignment="1">
      <alignment horizontal="center"/>
    </xf>
    <xf numFmtId="188" fontId="0" fillId="34" borderId="20" xfId="59" applyNumberFormat="1" applyFont="1" applyFill="1" applyBorder="1" applyAlignment="1">
      <alignment horizontal="center"/>
    </xf>
    <xf numFmtId="188" fontId="0" fillId="34" borderId="0" xfId="59" applyNumberFormat="1" applyFont="1" applyFill="1" applyBorder="1" applyAlignment="1">
      <alignment horizontal="center"/>
    </xf>
    <xf numFmtId="188" fontId="0" fillId="34" borderId="21" xfId="59" applyNumberFormat="1" applyFont="1" applyFill="1" applyBorder="1" applyAlignment="1">
      <alignment horizontal="center"/>
    </xf>
    <xf numFmtId="188" fontId="0" fillId="34" borderId="0" xfId="59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185" fontId="3" fillId="35" borderId="10" xfId="0" applyNumberFormat="1" applyFont="1" applyFill="1" applyBorder="1" applyAlignment="1">
      <alignment horizontal="left" vertical="center" wrapText="1"/>
    </xf>
    <xf numFmtId="185" fontId="10" fillId="0" borderId="10" xfId="0" applyNumberFormat="1" applyFont="1" applyFill="1" applyBorder="1" applyAlignment="1">
      <alignment horizontal="left" vertical="center" wrapText="1"/>
    </xf>
    <xf numFmtId="186" fontId="3" fillId="35" borderId="15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 vertical="center" wrapText="1"/>
    </xf>
    <xf numFmtId="186" fontId="10" fillId="35" borderId="15" xfId="0" applyNumberFormat="1" applyFont="1" applyFill="1" applyBorder="1" applyAlignment="1">
      <alignment horizontal="center" vertical="center" wrapText="1"/>
    </xf>
    <xf numFmtId="185" fontId="10" fillId="35" borderId="10" xfId="0" applyNumberFormat="1" applyFont="1" applyFill="1" applyBorder="1" applyAlignment="1">
      <alignment horizontal="left" vertical="center"/>
    </xf>
    <xf numFmtId="186" fontId="3" fillId="35" borderId="14" xfId="0" applyNumberFormat="1" applyFont="1" applyFill="1" applyBorder="1" applyAlignment="1">
      <alignment/>
    </xf>
    <xf numFmtId="186" fontId="0" fillId="36" borderId="0" xfId="0" applyNumberFormat="1" applyFont="1" applyFill="1" applyBorder="1" applyAlignment="1">
      <alignment/>
    </xf>
    <xf numFmtId="186" fontId="5" fillId="36" borderId="10" xfId="0" applyNumberFormat="1" applyFont="1" applyFill="1" applyBorder="1" applyAlignment="1">
      <alignment horizontal="center" vertical="center" wrapText="1"/>
    </xf>
    <xf numFmtId="186" fontId="5" fillId="35" borderId="12" xfId="0" applyNumberFormat="1" applyFont="1" applyFill="1" applyBorder="1" applyAlignment="1">
      <alignment horizontal="center"/>
    </xf>
    <xf numFmtId="186" fontId="5" fillId="35" borderId="12" xfId="0" applyNumberFormat="1" applyFont="1" applyFill="1" applyBorder="1" applyAlignment="1">
      <alignment horizontal="center" vertical="center" wrapText="1"/>
    </xf>
    <xf numFmtId="188" fontId="5" fillId="34" borderId="0" xfId="59" applyNumberFormat="1" applyFont="1" applyFill="1" applyBorder="1" applyAlignment="1">
      <alignment horizontal="center"/>
    </xf>
    <xf numFmtId="185" fontId="21" fillId="34" borderId="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left"/>
    </xf>
    <xf numFmtId="186" fontId="7" fillId="0" borderId="0" xfId="0" applyNumberFormat="1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horizontal="center"/>
    </xf>
    <xf numFmtId="186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86" fontId="8" fillId="0" borderId="0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center" vertical="center" wrapText="1"/>
    </xf>
    <xf numFmtId="186" fontId="15" fillId="0" borderId="0" xfId="0" applyNumberFormat="1" applyFont="1" applyFill="1" applyBorder="1" applyAlignment="1">
      <alignment horizontal="center" vertical="center" textRotation="90" wrapText="1"/>
    </xf>
    <xf numFmtId="186" fontId="9" fillId="0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85" fontId="5" fillId="0" borderId="0" xfId="0" applyNumberFormat="1" applyFont="1" applyFill="1" applyBorder="1" applyAlignment="1">
      <alignment horizontal="left" vertical="center" wrapText="1"/>
    </xf>
    <xf numFmtId="186" fontId="5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 horizontal="left" vertical="center" wrapText="1"/>
    </xf>
    <xf numFmtId="185" fontId="6" fillId="0" borderId="0" xfId="0" applyNumberFormat="1" applyFont="1" applyFill="1" applyBorder="1" applyAlignment="1">
      <alignment horizontal="left" vertical="center" wrapText="1"/>
    </xf>
    <xf numFmtId="186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186" fontId="10" fillId="0" borderId="0" xfId="0" applyNumberFormat="1" applyFont="1" applyFill="1" applyBorder="1" applyAlignment="1">
      <alignment horizontal="center" vertical="center" wrapText="1"/>
    </xf>
    <xf numFmtId="185" fontId="10" fillId="0" borderId="0" xfId="0" applyNumberFormat="1" applyFont="1" applyFill="1" applyBorder="1" applyAlignment="1">
      <alignment horizontal="left" vertical="center" wrapText="1"/>
    </xf>
    <xf numFmtId="186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Fill="1" applyBorder="1" applyAlignment="1">
      <alignment horizontal="left"/>
    </xf>
    <xf numFmtId="186" fontId="19" fillId="0" borderId="0" xfId="0" applyNumberFormat="1" applyFont="1" applyFill="1" applyBorder="1" applyAlignment="1">
      <alignment horizontal="center"/>
    </xf>
    <xf numFmtId="186" fontId="11" fillId="35" borderId="10" xfId="0" applyNumberFormat="1" applyFont="1" applyFill="1" applyBorder="1" applyAlignment="1">
      <alignment horizontal="center" vertical="center" wrapText="1"/>
    </xf>
    <xf numFmtId="185" fontId="5" fillId="35" borderId="11" xfId="0" applyNumberFormat="1" applyFont="1" applyFill="1" applyBorder="1" applyAlignment="1">
      <alignment horizontal="center" vertical="center" wrapText="1"/>
    </xf>
    <xf numFmtId="185" fontId="3" fillId="35" borderId="22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center" vertical="center" wrapText="1"/>
    </xf>
    <xf numFmtId="186" fontId="3" fillId="35" borderId="16" xfId="0" applyNumberFormat="1" applyFont="1" applyFill="1" applyBorder="1" applyAlignment="1">
      <alignment horizontal="center"/>
    </xf>
    <xf numFmtId="186" fontId="6" fillId="35" borderId="16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center" vertical="center" wrapText="1"/>
    </xf>
    <xf numFmtId="186" fontId="3" fillId="35" borderId="12" xfId="0" applyNumberFormat="1" applyFont="1" applyFill="1" applyBorder="1" applyAlignment="1">
      <alignment/>
    </xf>
    <xf numFmtId="186" fontId="3" fillId="35" borderId="16" xfId="0" applyNumberFormat="1" applyFont="1" applyFill="1" applyBorder="1" applyAlignment="1">
      <alignment/>
    </xf>
    <xf numFmtId="186" fontId="16" fillId="36" borderId="0" xfId="0" applyNumberFormat="1" applyFont="1" applyFill="1" applyBorder="1" applyAlignment="1">
      <alignment horizontal="center"/>
    </xf>
    <xf numFmtId="185" fontId="3" fillId="35" borderId="23" xfId="0" applyNumberFormat="1" applyFont="1" applyFill="1" applyBorder="1" applyAlignment="1">
      <alignment horizontal="center" vertical="center" wrapText="1"/>
    </xf>
    <xf numFmtId="185" fontId="5" fillId="33" borderId="11" xfId="0" applyNumberFormat="1" applyFont="1" applyFill="1" applyBorder="1" applyAlignment="1">
      <alignment horizontal="left" vertical="center" wrapText="1"/>
    </xf>
    <xf numFmtId="185" fontId="3" fillId="35" borderId="11" xfId="0" applyNumberFormat="1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185" fontId="10" fillId="0" borderId="11" xfId="0" applyNumberFormat="1" applyFont="1" applyFill="1" applyBorder="1" applyAlignment="1">
      <alignment horizontal="left" vertical="center" wrapText="1"/>
    </xf>
    <xf numFmtId="185" fontId="6" fillId="35" borderId="11" xfId="0" applyNumberFormat="1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185" fontId="10" fillId="35" borderId="11" xfId="0" applyNumberFormat="1" applyFont="1" applyFill="1" applyBorder="1" applyAlignment="1">
      <alignment horizontal="left" vertical="center"/>
    </xf>
    <xf numFmtId="185" fontId="10" fillId="35" borderId="11" xfId="0" applyNumberFormat="1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185" fontId="5" fillId="33" borderId="11" xfId="0" applyNumberFormat="1" applyFont="1" applyFill="1" applyBorder="1" applyAlignment="1">
      <alignment horizontal="center" vertical="center" wrapText="1"/>
    </xf>
    <xf numFmtId="185" fontId="12" fillId="34" borderId="24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186" fontId="25" fillId="34" borderId="10" xfId="0" applyNumberFormat="1" applyFont="1" applyFill="1" applyBorder="1" applyAlignment="1">
      <alignment horizontal="center" vertical="center" textRotation="90" wrapText="1"/>
    </xf>
    <xf numFmtId="186" fontId="25" fillId="35" borderId="10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186" fontId="23" fillId="33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/>
    </xf>
    <xf numFmtId="185" fontId="23" fillId="34" borderId="10" xfId="0" applyNumberFormat="1" applyFont="1" applyFill="1" applyBorder="1" applyAlignment="1">
      <alignment horizontal="left"/>
    </xf>
    <xf numFmtId="186" fontId="23" fillId="34" borderId="10" xfId="59" applyNumberFormat="1" applyFont="1" applyFill="1" applyBorder="1" applyAlignment="1">
      <alignment horizontal="center"/>
    </xf>
    <xf numFmtId="186" fontId="23" fillId="34" borderId="10" xfId="0" applyNumberFormat="1" applyFont="1" applyFill="1" applyBorder="1" applyAlignment="1">
      <alignment horizontal="left"/>
    </xf>
    <xf numFmtId="186" fontId="28" fillId="34" borderId="10" xfId="0" applyNumberFormat="1" applyFont="1" applyFill="1" applyBorder="1" applyAlignment="1">
      <alignment horizontal="center"/>
    </xf>
    <xf numFmtId="188" fontId="23" fillId="34" borderId="25" xfId="59" applyNumberFormat="1" applyFont="1" applyFill="1" applyBorder="1" applyAlignment="1">
      <alignment horizontal="center"/>
    </xf>
    <xf numFmtId="188" fontId="23" fillId="34" borderId="10" xfId="59" applyNumberFormat="1" applyFont="1" applyFill="1" applyBorder="1" applyAlignment="1">
      <alignment horizontal="center"/>
    </xf>
    <xf numFmtId="188" fontId="23" fillId="34" borderId="14" xfId="59" applyNumberFormat="1" applyFont="1" applyFill="1" applyBorder="1" applyAlignment="1">
      <alignment horizontal="center"/>
    </xf>
    <xf numFmtId="188" fontId="23" fillId="34" borderId="11" xfId="59" applyNumberFormat="1" applyFont="1" applyFill="1" applyBorder="1" applyAlignment="1">
      <alignment horizontal="left"/>
    </xf>
    <xf numFmtId="188" fontId="23" fillId="34" borderId="12" xfId="59" applyNumberFormat="1" applyFont="1" applyFill="1" applyBorder="1" applyAlignment="1">
      <alignment horizontal="center"/>
    </xf>
    <xf numFmtId="188" fontId="23" fillId="34" borderId="17" xfId="59" applyNumberFormat="1" applyFont="1" applyFill="1" applyBorder="1" applyAlignment="1">
      <alignment horizontal="center"/>
    </xf>
    <xf numFmtId="188" fontId="23" fillId="34" borderId="18" xfId="59" applyNumberFormat="1" applyFont="1" applyFill="1" applyBorder="1" applyAlignment="1">
      <alignment horizontal="center"/>
    </xf>
    <xf numFmtId="188" fontId="23" fillId="34" borderId="19" xfId="59" applyNumberFormat="1" applyFont="1" applyFill="1" applyBorder="1" applyAlignment="1">
      <alignment horizontal="center"/>
    </xf>
    <xf numFmtId="188" fontId="23" fillId="34" borderId="11" xfId="59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185" fontId="26" fillId="34" borderId="0" xfId="0" applyNumberFormat="1" applyFont="1" applyFill="1" applyBorder="1" applyAlignment="1">
      <alignment horizontal="left"/>
    </xf>
    <xf numFmtId="186" fontId="24" fillId="34" borderId="0" xfId="0" applyNumberFormat="1" applyFont="1" applyFill="1" applyBorder="1" applyAlignment="1">
      <alignment horizontal="center"/>
    </xf>
    <xf numFmtId="186" fontId="29" fillId="34" borderId="0" xfId="0" applyNumberFormat="1" applyFont="1" applyFill="1" applyBorder="1" applyAlignment="1">
      <alignment horizontal="center"/>
    </xf>
    <xf numFmtId="188" fontId="24" fillId="34" borderId="20" xfId="59" applyNumberFormat="1" applyFont="1" applyFill="1" applyBorder="1" applyAlignment="1">
      <alignment horizontal="center"/>
    </xf>
    <xf numFmtId="188" fontId="24" fillId="34" borderId="0" xfId="59" applyNumberFormat="1" applyFont="1" applyFill="1" applyBorder="1" applyAlignment="1">
      <alignment horizontal="center"/>
    </xf>
    <xf numFmtId="188" fontId="24" fillId="34" borderId="21" xfId="59" applyNumberFormat="1" applyFont="1" applyFill="1" applyBorder="1" applyAlignment="1">
      <alignment horizontal="center"/>
    </xf>
    <xf numFmtId="188" fontId="24" fillId="34" borderId="0" xfId="59" applyNumberFormat="1" applyFont="1" applyFill="1" applyBorder="1" applyAlignment="1">
      <alignment/>
    </xf>
    <xf numFmtId="185" fontId="24" fillId="34" borderId="0" xfId="0" applyNumberFormat="1" applyFont="1" applyFill="1" applyBorder="1" applyAlignment="1">
      <alignment horizontal="left"/>
    </xf>
    <xf numFmtId="186" fontId="24" fillId="34" borderId="0" xfId="0" applyNumberFormat="1" applyFont="1" applyFill="1" applyBorder="1" applyAlignment="1">
      <alignment horizontal="left"/>
    </xf>
    <xf numFmtId="188" fontId="23" fillId="34" borderId="13" xfId="59" applyNumberFormat="1" applyFont="1" applyFill="1" applyBorder="1" applyAlignment="1">
      <alignment horizontal="center"/>
    </xf>
    <xf numFmtId="188" fontId="23" fillId="36" borderId="11" xfId="59" applyNumberFormat="1" applyFont="1" applyFill="1" applyBorder="1" applyAlignment="1">
      <alignment horizontal="center" vertical="center" wrapText="1"/>
    </xf>
    <xf numFmtId="188" fontId="23" fillId="33" borderId="10" xfId="59" applyNumberFormat="1" applyFont="1" applyFill="1" applyBorder="1" applyAlignment="1">
      <alignment horizontal="center" vertical="center" wrapText="1"/>
    </xf>
    <xf numFmtId="185" fontId="24" fillId="34" borderId="12" xfId="0" applyNumberFormat="1" applyFont="1" applyFill="1" applyBorder="1" applyAlignment="1">
      <alignment horizontal="left"/>
    </xf>
    <xf numFmtId="185" fontId="24" fillId="34" borderId="16" xfId="0" applyNumberFormat="1" applyFont="1" applyFill="1" applyBorder="1" applyAlignment="1">
      <alignment horizontal="left"/>
    </xf>
    <xf numFmtId="186" fontId="24" fillId="34" borderId="16" xfId="0" applyNumberFormat="1" applyFont="1" applyFill="1" applyBorder="1" applyAlignment="1">
      <alignment horizontal="center"/>
    </xf>
    <xf numFmtId="186" fontId="24" fillId="34" borderId="16" xfId="0" applyNumberFormat="1" applyFont="1" applyFill="1" applyBorder="1" applyAlignment="1">
      <alignment horizontal="left"/>
    </xf>
    <xf numFmtId="186" fontId="29" fillId="34" borderId="16" xfId="0" applyNumberFormat="1" applyFont="1" applyFill="1" applyBorder="1" applyAlignment="1">
      <alignment horizontal="center"/>
    </xf>
    <xf numFmtId="186" fontId="29" fillId="34" borderId="11" xfId="0" applyNumberFormat="1" applyFont="1" applyFill="1" applyBorder="1" applyAlignment="1">
      <alignment horizontal="center"/>
    </xf>
    <xf numFmtId="186" fontId="26" fillId="36" borderId="17" xfId="0" applyNumberFormat="1" applyFont="1" applyFill="1" applyBorder="1" applyAlignment="1">
      <alignment horizontal="center"/>
    </xf>
    <xf numFmtId="186" fontId="26" fillId="36" borderId="18" xfId="0" applyNumberFormat="1" applyFont="1" applyFill="1" applyBorder="1" applyAlignment="1">
      <alignment horizontal="center"/>
    </xf>
    <xf numFmtId="186" fontId="26" fillId="36" borderId="19" xfId="0" applyNumberFormat="1" applyFont="1" applyFill="1" applyBorder="1" applyAlignment="1">
      <alignment horizontal="center"/>
    </xf>
    <xf numFmtId="186" fontId="24" fillId="34" borderId="0" xfId="0" applyNumberFormat="1" applyFont="1" applyFill="1" applyBorder="1" applyAlignment="1">
      <alignment/>
    </xf>
    <xf numFmtId="186" fontId="24" fillId="36" borderId="0" xfId="0" applyNumberFormat="1" applyFont="1" applyFill="1" applyBorder="1" applyAlignment="1">
      <alignment/>
    </xf>
    <xf numFmtId="186" fontId="29" fillId="34" borderId="0" xfId="0" applyNumberFormat="1" applyFont="1" applyFill="1" applyBorder="1" applyAlignment="1">
      <alignment horizontal="left"/>
    </xf>
    <xf numFmtId="185" fontId="24" fillId="0" borderId="0" xfId="0" applyNumberFormat="1" applyFont="1" applyFill="1" applyBorder="1" applyAlignment="1">
      <alignment horizontal="left"/>
    </xf>
    <xf numFmtId="186" fontId="24" fillId="0" borderId="0" xfId="0" applyNumberFormat="1" applyFont="1" applyFill="1" applyBorder="1" applyAlignment="1">
      <alignment horizontal="left"/>
    </xf>
    <xf numFmtId="186" fontId="24" fillId="0" borderId="0" xfId="0" applyNumberFormat="1" applyFont="1" applyFill="1" applyBorder="1" applyAlignment="1">
      <alignment horizontal="center"/>
    </xf>
    <xf numFmtId="186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86" fontId="23" fillId="0" borderId="0" xfId="0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 applyAlignment="1">
      <alignment horizontal="center" vertical="center" textRotation="90" wrapText="1"/>
    </xf>
    <xf numFmtId="186" fontId="2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/>
    </xf>
    <xf numFmtId="185" fontId="23" fillId="0" borderId="0" xfId="0" applyNumberFormat="1" applyFont="1" applyFill="1" applyBorder="1" applyAlignment="1">
      <alignment horizontal="left" vertical="center" wrapText="1"/>
    </xf>
    <xf numFmtId="186" fontId="23" fillId="0" borderId="0" xfId="0" applyNumberFormat="1" applyFont="1" applyFill="1" applyBorder="1" applyAlignment="1">
      <alignment horizontal="center"/>
    </xf>
    <xf numFmtId="185" fontId="24" fillId="0" borderId="0" xfId="0" applyNumberFormat="1" applyFont="1" applyFill="1" applyBorder="1" applyAlignment="1">
      <alignment/>
    </xf>
    <xf numFmtId="185" fontId="25" fillId="0" borderId="0" xfId="0" applyNumberFormat="1" applyFont="1" applyFill="1" applyBorder="1" applyAlignment="1">
      <alignment horizontal="left" vertical="center" wrapText="1"/>
    </xf>
    <xf numFmtId="186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85" fontId="28" fillId="0" borderId="0" xfId="0" applyNumberFormat="1" applyFont="1" applyFill="1" applyBorder="1" applyAlignment="1">
      <alignment horizontal="left" vertical="center" wrapText="1"/>
    </xf>
    <xf numFmtId="186" fontId="25" fillId="0" borderId="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center" vertical="center" wrapText="1"/>
    </xf>
    <xf numFmtId="186" fontId="26" fillId="0" borderId="0" xfId="0" applyNumberFormat="1" applyFont="1" applyFill="1" applyBorder="1" applyAlignment="1">
      <alignment horizontal="center" vertical="center"/>
    </xf>
    <xf numFmtId="186" fontId="24" fillId="0" borderId="0" xfId="0" applyNumberFormat="1" applyFont="1" applyFill="1" applyBorder="1" applyAlignment="1">
      <alignment horizontal="center" vertical="center"/>
    </xf>
    <xf numFmtId="186" fontId="27" fillId="0" borderId="0" xfId="0" applyNumberFormat="1" applyFont="1" applyFill="1" applyBorder="1" applyAlignment="1">
      <alignment horizontal="center"/>
    </xf>
    <xf numFmtId="186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86" fontId="27" fillId="0" borderId="0" xfId="0" applyNumberFormat="1" applyFont="1" applyFill="1" applyBorder="1" applyAlignment="1">
      <alignment horizontal="center" vertical="center" wrapText="1"/>
    </xf>
    <xf numFmtId="185" fontId="27" fillId="0" borderId="0" xfId="0" applyNumberFormat="1" applyFont="1" applyFill="1" applyBorder="1" applyAlignment="1">
      <alignment horizontal="left" vertical="center" wrapText="1"/>
    </xf>
    <xf numFmtId="186" fontId="25" fillId="0" borderId="0" xfId="0" applyNumberFormat="1" applyFont="1" applyFill="1" applyBorder="1" applyAlignment="1">
      <alignment horizontal="center" vertical="center"/>
    </xf>
    <xf numFmtId="186" fontId="25" fillId="0" borderId="0" xfId="0" applyNumberFormat="1" applyFont="1" applyFill="1" applyBorder="1" applyAlignment="1">
      <alignment horizontal="right"/>
    </xf>
    <xf numFmtId="186" fontId="25" fillId="0" borderId="0" xfId="0" applyNumberFormat="1" applyFont="1" applyFill="1" applyBorder="1" applyAlignment="1">
      <alignment/>
    </xf>
    <xf numFmtId="185" fontId="23" fillId="0" borderId="0" xfId="0" applyNumberFormat="1" applyFont="1" applyFill="1" applyBorder="1" applyAlignment="1">
      <alignment horizontal="center" vertical="center" wrapText="1"/>
    </xf>
    <xf numFmtId="186" fontId="29" fillId="0" borderId="0" xfId="0" applyNumberFormat="1" applyFont="1" applyFill="1" applyBorder="1" applyAlignment="1">
      <alignment horizontal="left"/>
    </xf>
    <xf numFmtId="186" fontId="29" fillId="0" borderId="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left" vertical="center" wrapText="1"/>
    </xf>
    <xf numFmtId="185" fontId="32" fillId="33" borderId="10" xfId="0" applyNumberFormat="1" applyFont="1" applyFill="1" applyBorder="1" applyAlignment="1">
      <alignment horizontal="left" vertical="center" wrapText="1"/>
    </xf>
    <xf numFmtId="186" fontId="32" fillId="33" borderId="11" xfId="0" applyNumberFormat="1" applyFont="1" applyFill="1" applyBorder="1" applyAlignment="1">
      <alignment horizontal="center"/>
    </xf>
    <xf numFmtId="185" fontId="32" fillId="33" borderId="11" xfId="0" applyNumberFormat="1" applyFont="1" applyFill="1" applyBorder="1" applyAlignment="1">
      <alignment horizontal="left" vertical="center" wrapText="1"/>
    </xf>
    <xf numFmtId="186" fontId="32" fillId="33" borderId="13" xfId="0" applyNumberFormat="1" applyFont="1" applyFill="1" applyBorder="1" applyAlignment="1">
      <alignment horizontal="center"/>
    </xf>
    <xf numFmtId="186" fontId="32" fillId="33" borderId="15" xfId="0" applyNumberFormat="1" applyFont="1" applyFill="1" applyBorder="1" applyAlignment="1">
      <alignment horizontal="center"/>
    </xf>
    <xf numFmtId="186" fontId="32" fillId="33" borderId="16" xfId="0" applyNumberFormat="1" applyFont="1" applyFill="1" applyBorder="1" applyAlignment="1">
      <alignment horizontal="center"/>
    </xf>
    <xf numFmtId="186" fontId="3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185" fontId="15" fillId="35" borderId="10" xfId="0" applyNumberFormat="1" applyFont="1" applyFill="1" applyBorder="1" applyAlignment="1">
      <alignment horizontal="left" vertical="center" wrapText="1"/>
    </xf>
    <xf numFmtId="186" fontId="15" fillId="35" borderId="11" xfId="0" applyNumberFormat="1" applyFont="1" applyFill="1" applyBorder="1" applyAlignment="1">
      <alignment horizontal="center" vertical="center" wrapText="1"/>
    </xf>
    <xf numFmtId="185" fontId="15" fillId="35" borderId="11" xfId="0" applyNumberFormat="1" applyFont="1" applyFill="1" applyBorder="1" applyAlignment="1">
      <alignment horizontal="left" vertical="center" wrapText="1"/>
    </xf>
    <xf numFmtId="186" fontId="15" fillId="35" borderId="13" xfId="0" applyNumberFormat="1" applyFont="1" applyFill="1" applyBorder="1" applyAlignment="1">
      <alignment horizontal="center" vertical="center" wrapText="1"/>
    </xf>
    <xf numFmtId="186" fontId="15" fillId="35" borderId="15" xfId="0" applyNumberFormat="1" applyFont="1" applyFill="1" applyBorder="1" applyAlignment="1">
      <alignment horizontal="center" vertical="center" wrapText="1"/>
    </xf>
    <xf numFmtId="186" fontId="15" fillId="35" borderId="16" xfId="0" applyNumberFormat="1" applyFont="1" applyFill="1" applyBorder="1" applyAlignment="1">
      <alignment horizontal="center" vertical="center" wrapText="1"/>
    </xf>
    <xf numFmtId="186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left" vertical="center" wrapText="1"/>
    </xf>
    <xf numFmtId="185" fontId="33" fillId="0" borderId="10" xfId="0" applyNumberFormat="1" applyFont="1" applyFill="1" applyBorder="1" applyAlignment="1">
      <alignment horizontal="left" vertical="center" wrapText="1"/>
    </xf>
    <xf numFmtId="186" fontId="15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left" vertical="center" wrapText="1"/>
    </xf>
    <xf numFmtId="186" fontId="15" fillId="35" borderId="11" xfId="0" applyNumberFormat="1" applyFont="1" applyFill="1" applyBorder="1" applyAlignment="1">
      <alignment horizontal="center"/>
    </xf>
    <xf numFmtId="186" fontId="15" fillId="35" borderId="15" xfId="0" applyNumberFormat="1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 vertical="center" wrapText="1"/>
    </xf>
    <xf numFmtId="185" fontId="34" fillId="35" borderId="10" xfId="0" applyNumberFormat="1" applyFont="1" applyFill="1" applyBorder="1" applyAlignment="1">
      <alignment horizontal="left" vertical="center" wrapText="1"/>
    </xf>
    <xf numFmtId="186" fontId="34" fillId="35" borderId="11" xfId="0" applyNumberFormat="1" applyFont="1" applyFill="1" applyBorder="1" applyAlignment="1">
      <alignment horizontal="center"/>
    </xf>
    <xf numFmtId="185" fontId="34" fillId="35" borderId="11" xfId="0" applyNumberFormat="1" applyFont="1" applyFill="1" applyBorder="1" applyAlignment="1">
      <alignment horizontal="left" vertical="center" wrapText="1"/>
    </xf>
    <xf numFmtId="186" fontId="32" fillId="35" borderId="13" xfId="0" applyNumberFormat="1" applyFont="1" applyFill="1" applyBorder="1" applyAlignment="1">
      <alignment horizontal="center" vertical="center" wrapText="1"/>
    </xf>
    <xf numFmtId="186" fontId="34" fillId="35" borderId="15" xfId="0" applyNumberFormat="1" applyFont="1" applyFill="1" applyBorder="1" applyAlignment="1">
      <alignment horizontal="center"/>
    </xf>
    <xf numFmtId="186" fontId="32" fillId="35" borderId="11" xfId="0" applyNumberFormat="1" applyFont="1" applyFill="1" applyBorder="1" applyAlignment="1">
      <alignment horizontal="center" vertical="center" wrapText="1"/>
    </xf>
    <xf numFmtId="186" fontId="32" fillId="35" borderId="16" xfId="0" applyNumberFormat="1" applyFont="1" applyFill="1" applyBorder="1" applyAlignment="1">
      <alignment horizontal="center" vertical="center" wrapText="1"/>
    </xf>
    <xf numFmtId="186" fontId="32" fillId="35" borderId="15" xfId="0" applyNumberFormat="1" applyFont="1" applyFill="1" applyBorder="1" applyAlignment="1">
      <alignment horizontal="center" vertical="center" wrapText="1"/>
    </xf>
    <xf numFmtId="186" fontId="32" fillId="35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86" fontId="33" fillId="35" borderId="11" xfId="0" applyNumberFormat="1" applyFont="1" applyFill="1" applyBorder="1" applyAlignment="1">
      <alignment horizontal="center"/>
    </xf>
    <xf numFmtId="186" fontId="15" fillId="37" borderId="11" xfId="0" applyNumberFormat="1" applyFont="1" applyFill="1" applyBorder="1" applyAlignment="1">
      <alignment horizontal="center" vertical="center" wrapText="1"/>
    </xf>
    <xf numFmtId="186" fontId="15" fillId="37" borderId="16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left" vertical="center" wrapText="1"/>
    </xf>
    <xf numFmtId="0" fontId="33" fillId="35" borderId="11" xfId="0" applyFont="1" applyFill="1" applyBorder="1" applyAlignment="1">
      <alignment horizontal="left" vertical="center" wrapText="1"/>
    </xf>
    <xf numFmtId="186" fontId="33" fillId="35" borderId="11" xfId="0" applyNumberFormat="1" applyFont="1" applyFill="1" applyBorder="1" applyAlignment="1">
      <alignment horizontal="center" vertical="center" wrapText="1"/>
    </xf>
    <xf numFmtId="186" fontId="33" fillId="35" borderId="15" xfId="0" applyNumberFormat="1" applyFont="1" applyFill="1" applyBorder="1" applyAlignment="1">
      <alignment horizontal="center" vertical="center" wrapText="1"/>
    </xf>
    <xf numFmtId="185" fontId="33" fillId="35" borderId="10" xfId="0" applyNumberFormat="1" applyFont="1" applyFill="1" applyBorder="1" applyAlignment="1">
      <alignment horizontal="left" vertical="center"/>
    </xf>
    <xf numFmtId="185" fontId="33" fillId="35" borderId="11" xfId="0" applyNumberFormat="1" applyFont="1" applyFill="1" applyBorder="1" applyAlignment="1">
      <alignment horizontal="left" vertical="center"/>
    </xf>
    <xf numFmtId="185" fontId="33" fillId="35" borderId="10" xfId="0" applyNumberFormat="1" applyFont="1" applyFill="1" applyBorder="1" applyAlignment="1">
      <alignment horizontal="left" vertical="center" wrapText="1"/>
    </xf>
    <xf numFmtId="185" fontId="33" fillId="35" borderId="11" xfId="0" applyNumberFormat="1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 horizontal="left" vertical="center" wrapText="1"/>
    </xf>
    <xf numFmtId="0" fontId="32" fillId="35" borderId="11" xfId="0" applyFont="1" applyFill="1" applyBorder="1" applyAlignment="1">
      <alignment horizontal="left" vertical="center" wrapText="1"/>
    </xf>
    <xf numFmtId="186" fontId="15" fillId="35" borderId="11" xfId="0" applyNumberFormat="1" applyFont="1" applyFill="1" applyBorder="1" applyAlignment="1">
      <alignment horizontal="center" vertical="center"/>
    </xf>
    <xf numFmtId="186" fontId="15" fillId="35" borderId="11" xfId="0" applyNumberFormat="1" applyFont="1" applyFill="1" applyBorder="1" applyAlignment="1">
      <alignment horizontal="right"/>
    </xf>
    <xf numFmtId="186" fontId="15" fillId="35" borderId="10" xfId="0" applyNumberFormat="1" applyFont="1" applyFill="1" applyBorder="1" applyAlignment="1">
      <alignment horizontal="center" vertical="center"/>
    </xf>
    <xf numFmtId="186" fontId="15" fillId="35" borderId="10" xfId="0" applyNumberFormat="1" applyFont="1" applyFill="1" applyBorder="1" applyAlignment="1">
      <alignment horizontal="right"/>
    </xf>
    <xf numFmtId="186" fontId="15" fillId="35" borderId="14" xfId="0" applyNumberFormat="1" applyFont="1" applyFill="1" applyBorder="1" applyAlignment="1">
      <alignment horizontal="center" vertical="center" wrapText="1"/>
    </xf>
    <xf numFmtId="186" fontId="15" fillId="35" borderId="10" xfId="0" applyNumberFormat="1" applyFont="1" applyFill="1" applyBorder="1" applyAlignment="1">
      <alignment/>
    </xf>
    <xf numFmtId="186" fontId="15" fillId="35" borderId="10" xfId="0" applyNumberFormat="1" applyFont="1" applyFill="1" applyBorder="1" applyAlignment="1">
      <alignment horizontal="center"/>
    </xf>
    <xf numFmtId="186" fontId="15" fillId="35" borderId="12" xfId="0" applyNumberFormat="1" applyFont="1" applyFill="1" applyBorder="1" applyAlignment="1">
      <alignment horizontal="right"/>
    </xf>
    <xf numFmtId="186" fontId="15" fillId="35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85" fontId="32" fillId="33" borderId="10" xfId="0" applyNumberFormat="1" applyFont="1" applyFill="1" applyBorder="1" applyAlignment="1">
      <alignment horizontal="center" vertical="center" wrapText="1"/>
    </xf>
    <xf numFmtId="186" fontId="32" fillId="33" borderId="10" xfId="0" applyNumberFormat="1" applyFont="1" applyFill="1" applyBorder="1" applyAlignment="1">
      <alignment horizontal="center" vertical="center" wrapText="1"/>
    </xf>
    <xf numFmtId="185" fontId="32" fillId="35" borderId="11" xfId="0" applyNumberFormat="1" applyFont="1" applyFill="1" applyBorder="1" applyAlignment="1">
      <alignment horizontal="center" vertical="center" wrapText="1"/>
    </xf>
    <xf numFmtId="186" fontId="32" fillId="35" borderId="13" xfId="0" applyNumberFormat="1" applyFont="1" applyFill="1" applyBorder="1" applyAlignment="1">
      <alignment horizontal="center"/>
    </xf>
    <xf numFmtId="186" fontId="32" fillId="35" borderId="10" xfId="0" applyNumberFormat="1" applyFont="1" applyFill="1" applyBorder="1" applyAlignment="1">
      <alignment horizontal="center"/>
    </xf>
    <xf numFmtId="186" fontId="32" fillId="35" borderId="14" xfId="0" applyNumberFormat="1" applyFont="1" applyFill="1" applyBorder="1" applyAlignment="1">
      <alignment horizontal="center"/>
    </xf>
    <xf numFmtId="186" fontId="32" fillId="35" borderId="11" xfId="0" applyNumberFormat="1" applyFont="1" applyFill="1" applyBorder="1" applyAlignment="1">
      <alignment horizontal="center"/>
    </xf>
    <xf numFmtId="186" fontId="32" fillId="35" borderId="12" xfId="0" applyNumberFormat="1" applyFont="1" applyFill="1" applyBorder="1" applyAlignment="1">
      <alignment horizontal="center"/>
    </xf>
    <xf numFmtId="186" fontId="32" fillId="33" borderId="13" xfId="0" applyNumberFormat="1" applyFont="1" applyFill="1" applyBorder="1" applyAlignment="1">
      <alignment horizontal="center" vertical="center" wrapText="1"/>
    </xf>
    <xf numFmtId="186" fontId="32" fillId="33" borderId="14" xfId="0" applyNumberFormat="1" applyFont="1" applyFill="1" applyBorder="1" applyAlignment="1">
      <alignment horizontal="center" vertical="center" wrapText="1"/>
    </xf>
    <xf numFmtId="186" fontId="32" fillId="36" borderId="11" xfId="0" applyNumberFormat="1" applyFont="1" applyFill="1" applyBorder="1" applyAlignment="1">
      <alignment horizontal="center" vertical="center" wrapText="1"/>
    </xf>
    <xf numFmtId="186" fontId="32" fillId="33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86" fontId="32" fillId="35" borderId="14" xfId="0" applyNumberFormat="1" applyFont="1" applyFill="1" applyBorder="1" applyAlignment="1">
      <alignment horizontal="center" vertical="center" wrapText="1"/>
    </xf>
    <xf numFmtId="186" fontId="32" fillId="35" borderId="12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textRotation="90" wrapText="1"/>
    </xf>
    <xf numFmtId="186" fontId="15" fillId="34" borderId="10" xfId="0" applyNumberFormat="1" applyFont="1" applyFill="1" applyBorder="1" applyAlignment="1">
      <alignment horizontal="center" vertical="center" textRotation="90" wrapText="1"/>
    </xf>
    <xf numFmtId="186" fontId="15" fillId="34" borderId="12" xfId="0" applyNumberFormat="1" applyFont="1" applyFill="1" applyBorder="1" applyAlignment="1">
      <alignment horizontal="center" vertical="center" textRotation="90" wrapText="1"/>
    </xf>
    <xf numFmtId="186" fontId="15" fillId="34" borderId="14" xfId="0" applyNumberFormat="1" applyFont="1" applyFill="1" applyBorder="1" applyAlignment="1">
      <alignment horizontal="center" vertical="center" textRotation="90" wrapText="1"/>
    </xf>
    <xf numFmtId="185" fontId="32" fillId="33" borderId="12" xfId="0" applyNumberFormat="1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vertical="center" wrapText="1"/>
    </xf>
    <xf numFmtId="0" fontId="81" fillId="0" borderId="0" xfId="0" applyFont="1" applyAlignment="1">
      <alignment/>
    </xf>
    <xf numFmtId="186" fontId="82" fillId="34" borderId="10" xfId="0" applyNumberFormat="1" applyFont="1" applyFill="1" applyBorder="1" applyAlignment="1">
      <alignment horizontal="center" vertical="center" textRotation="90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35" borderId="0" xfId="0" applyFont="1" applyFill="1" applyAlignment="1">
      <alignment/>
    </xf>
    <xf numFmtId="0" fontId="81" fillId="0" borderId="0" xfId="0" applyFont="1" applyFill="1" applyBorder="1" applyAlignment="1">
      <alignment/>
    </xf>
    <xf numFmtId="1" fontId="81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34" borderId="0" xfId="0" applyFont="1" applyFill="1" applyBorder="1" applyAlignment="1">
      <alignment vertical="center" wrapText="1"/>
    </xf>
    <xf numFmtId="186" fontId="82" fillId="35" borderId="10" xfId="0" applyNumberFormat="1" applyFont="1" applyFill="1" applyBorder="1" applyAlignment="1">
      <alignment horizontal="center" vertical="center" wrapText="1"/>
    </xf>
    <xf numFmtId="1" fontId="82" fillId="34" borderId="10" xfId="0" applyNumberFormat="1" applyFont="1" applyFill="1" applyBorder="1" applyAlignment="1">
      <alignment horizontal="center" vertical="center" wrapText="1"/>
    </xf>
    <xf numFmtId="186" fontId="87" fillId="33" borderId="10" xfId="0" applyNumberFormat="1" applyFont="1" applyFill="1" applyBorder="1" applyAlignment="1">
      <alignment horizontal="center"/>
    </xf>
    <xf numFmtId="186" fontId="87" fillId="33" borderId="11" xfId="0" applyNumberFormat="1" applyFont="1" applyFill="1" applyBorder="1" applyAlignment="1">
      <alignment horizontal="center"/>
    </xf>
    <xf numFmtId="186" fontId="88" fillId="35" borderId="10" xfId="0" applyNumberFormat="1" applyFont="1" applyFill="1" applyBorder="1" applyAlignment="1">
      <alignment horizontal="center" vertical="center" wrapText="1"/>
    </xf>
    <xf numFmtId="186" fontId="88" fillId="35" borderId="11" xfId="0" applyNumberFormat="1" applyFont="1" applyFill="1" applyBorder="1" applyAlignment="1">
      <alignment horizontal="center" vertical="center" wrapText="1"/>
    </xf>
    <xf numFmtId="186" fontId="87" fillId="35" borderId="10" xfId="0" applyNumberFormat="1" applyFont="1" applyFill="1" applyBorder="1" applyAlignment="1">
      <alignment horizontal="center" vertical="center" wrapText="1"/>
    </xf>
    <xf numFmtId="186" fontId="87" fillId="35" borderId="11" xfId="0" applyNumberFormat="1" applyFont="1" applyFill="1" applyBorder="1" applyAlignment="1">
      <alignment horizontal="center" vertical="center" wrapText="1"/>
    </xf>
    <xf numFmtId="186" fontId="87" fillId="33" borderId="10" xfId="0" applyNumberFormat="1" applyFont="1" applyFill="1" applyBorder="1" applyAlignment="1">
      <alignment horizontal="center" vertical="center" wrapText="1"/>
    </xf>
    <xf numFmtId="188" fontId="86" fillId="34" borderId="10" xfId="59" applyNumberFormat="1" applyFont="1" applyFill="1" applyBorder="1" applyAlignment="1">
      <alignment horizontal="center"/>
    </xf>
    <xf numFmtId="188" fontId="81" fillId="34" borderId="0" xfId="59" applyNumberFormat="1" applyFont="1" applyFill="1" applyBorder="1" applyAlignment="1">
      <alignment/>
    </xf>
    <xf numFmtId="186" fontId="81" fillId="34" borderId="0" xfId="0" applyNumberFormat="1" applyFont="1" applyFill="1" applyBorder="1" applyAlignment="1">
      <alignment/>
    </xf>
    <xf numFmtId="186" fontId="86" fillId="36" borderId="10" xfId="0" applyNumberFormat="1" applyFont="1" applyFill="1" applyBorder="1" applyAlignment="1">
      <alignment horizontal="center" vertical="center" wrapText="1"/>
    </xf>
    <xf numFmtId="188" fontId="86" fillId="34" borderId="0" xfId="59" applyNumberFormat="1" applyFont="1" applyFill="1" applyBorder="1" applyAlignment="1">
      <alignment horizontal="center"/>
    </xf>
    <xf numFmtId="186" fontId="88" fillId="36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83" fillId="36" borderId="0" xfId="0" applyFont="1" applyFill="1" applyAlignment="1">
      <alignment/>
    </xf>
    <xf numFmtId="0" fontId="24" fillId="0" borderId="0" xfId="0" applyFont="1" applyAlignment="1">
      <alignment horizontal="center"/>
    </xf>
    <xf numFmtId="185" fontId="32" fillId="33" borderId="11" xfId="0" applyNumberFormat="1" applyFont="1" applyFill="1" applyBorder="1" applyAlignment="1">
      <alignment horizontal="center" vertical="center" wrapText="1"/>
    </xf>
    <xf numFmtId="185" fontId="15" fillId="35" borderId="11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185" fontId="34" fillId="35" borderId="11" xfId="0" applyNumberFormat="1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wrapText="1"/>
    </xf>
    <xf numFmtId="185" fontId="33" fillId="35" borderId="10" xfId="0" applyNumberFormat="1" applyFont="1" applyFill="1" applyBorder="1" applyAlignment="1">
      <alignment horizontal="center" vertical="center" wrapText="1"/>
    </xf>
    <xf numFmtId="185" fontId="23" fillId="34" borderId="10" xfId="0" applyNumberFormat="1" applyFont="1" applyFill="1" applyBorder="1" applyAlignment="1">
      <alignment horizontal="center"/>
    </xf>
    <xf numFmtId="185" fontId="26" fillId="34" borderId="0" xfId="0" applyNumberFormat="1" applyFont="1" applyFill="1" applyBorder="1" applyAlignment="1">
      <alignment horizontal="center"/>
    </xf>
    <xf numFmtId="185" fontId="24" fillId="34" borderId="0" xfId="0" applyNumberFormat="1" applyFont="1" applyFill="1" applyBorder="1" applyAlignment="1">
      <alignment horizontal="center"/>
    </xf>
    <xf numFmtId="185" fontId="24" fillId="34" borderId="1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85" fontId="24" fillId="0" borderId="0" xfId="0" applyNumberFormat="1" applyFont="1" applyFill="1" applyBorder="1" applyAlignment="1">
      <alignment horizontal="center"/>
    </xf>
    <xf numFmtId="186" fontId="88" fillId="34" borderId="10" xfId="0" applyNumberFormat="1" applyFont="1" applyFill="1" applyBorder="1" applyAlignment="1">
      <alignment horizontal="center" vertical="center" textRotation="90" wrapText="1"/>
    </xf>
    <xf numFmtId="186" fontId="87" fillId="35" borderId="10" xfId="0" applyNumberFormat="1" applyFont="1" applyFill="1" applyBorder="1" applyAlignment="1">
      <alignment horizontal="center"/>
    </xf>
    <xf numFmtId="186" fontId="81" fillId="0" borderId="0" xfId="0" applyNumberFormat="1" applyFont="1" applyFill="1" applyBorder="1" applyAlignment="1">
      <alignment horizontal="center"/>
    </xf>
    <xf numFmtId="186" fontId="86" fillId="0" borderId="0" xfId="0" applyNumberFormat="1" applyFont="1" applyFill="1" applyBorder="1" applyAlignment="1">
      <alignment horizontal="center" vertical="center" wrapText="1"/>
    </xf>
    <xf numFmtId="186" fontId="82" fillId="0" borderId="0" xfId="0" applyNumberFormat="1" applyFont="1" applyFill="1" applyBorder="1" applyAlignment="1">
      <alignment horizontal="center" vertical="center" wrapText="1"/>
    </xf>
    <xf numFmtId="1" fontId="82" fillId="0" borderId="0" xfId="0" applyNumberFormat="1" applyFont="1" applyFill="1" applyBorder="1" applyAlignment="1">
      <alignment horizontal="center" vertical="center" wrapText="1"/>
    </xf>
    <xf numFmtId="186" fontId="86" fillId="0" borderId="0" xfId="0" applyNumberFormat="1" applyFont="1" applyFill="1" applyBorder="1" applyAlignment="1">
      <alignment horizontal="center"/>
    </xf>
    <xf numFmtId="49" fontId="32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6" fontId="32" fillId="33" borderId="13" xfId="0" applyNumberFormat="1" applyFont="1" applyFill="1" applyBorder="1" applyAlignment="1">
      <alignment horizontal="center" vertical="center"/>
    </xf>
    <xf numFmtId="186" fontId="32" fillId="33" borderId="10" xfId="0" applyNumberFormat="1" applyFont="1" applyFill="1" applyBorder="1" applyAlignment="1">
      <alignment horizontal="center" vertical="center"/>
    </xf>
    <xf numFmtId="186" fontId="32" fillId="33" borderId="14" xfId="0" applyNumberFormat="1" applyFont="1" applyFill="1" applyBorder="1" applyAlignment="1">
      <alignment horizontal="center" vertical="center"/>
    </xf>
    <xf numFmtId="186" fontId="32" fillId="33" borderId="11" xfId="0" applyNumberFormat="1" applyFont="1" applyFill="1" applyBorder="1" applyAlignment="1">
      <alignment horizontal="center" vertical="center"/>
    </xf>
    <xf numFmtId="186" fontId="32" fillId="33" borderId="12" xfId="0" applyNumberFormat="1" applyFont="1" applyFill="1" applyBorder="1" applyAlignment="1">
      <alignment horizontal="center" vertical="center"/>
    </xf>
    <xf numFmtId="186" fontId="87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32" fillId="35" borderId="11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86" fontId="1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5" fontId="3" fillId="35" borderId="22" xfId="0" applyNumberFormat="1" applyFont="1" applyFill="1" applyBorder="1" applyAlignment="1">
      <alignment horizontal="center" vertical="center" wrapText="1"/>
    </xf>
    <xf numFmtId="185" fontId="3" fillId="35" borderId="26" xfId="0" applyNumberFormat="1" applyFont="1" applyFill="1" applyBorder="1" applyAlignment="1">
      <alignment horizontal="center" vertical="center" wrapText="1"/>
    </xf>
    <xf numFmtId="186" fontId="11" fillId="35" borderId="10" xfId="0" applyNumberFormat="1" applyFont="1" applyFill="1" applyBorder="1" applyAlignment="1">
      <alignment horizontal="center" vertical="center" wrapText="1"/>
    </xf>
    <xf numFmtId="186" fontId="11" fillId="35" borderId="12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center" vertical="center" wrapText="1"/>
    </xf>
    <xf numFmtId="186" fontId="8" fillId="0" borderId="0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185" fontId="5" fillId="35" borderId="16" xfId="0" applyNumberFormat="1" applyFont="1" applyFill="1" applyBorder="1" applyAlignment="1">
      <alignment horizontal="center" vertical="center" wrapText="1"/>
    </xf>
    <xf numFmtId="185" fontId="5" fillId="35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center" vertical="center" wrapText="1"/>
    </xf>
    <xf numFmtId="185" fontId="24" fillId="34" borderId="0" xfId="0" applyNumberFormat="1" applyFont="1" applyFill="1" applyBorder="1" applyAlignment="1">
      <alignment horizontal="left" wrapText="1"/>
    </xf>
    <xf numFmtId="186" fontId="26" fillId="0" borderId="0" xfId="0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left"/>
    </xf>
    <xf numFmtId="185" fontId="25" fillId="0" borderId="0" xfId="0" applyNumberFormat="1" applyFont="1" applyFill="1" applyBorder="1" applyAlignment="1">
      <alignment horizontal="center" vertical="center" wrapText="1"/>
    </xf>
    <xf numFmtId="186" fontId="23" fillId="0" borderId="0" xfId="0" applyNumberFormat="1" applyFont="1" applyFill="1" applyBorder="1" applyAlignment="1">
      <alignment horizontal="center" vertical="center" wrapText="1"/>
    </xf>
    <xf numFmtId="186" fontId="22" fillId="35" borderId="11" xfId="0" applyNumberFormat="1" applyFont="1" applyFill="1" applyBorder="1" applyAlignment="1">
      <alignment horizontal="center" vertical="center" wrapText="1"/>
    </xf>
    <xf numFmtId="186" fontId="22" fillId="35" borderId="10" xfId="0" applyNumberFormat="1" applyFont="1" applyFill="1" applyBorder="1" applyAlignment="1">
      <alignment horizontal="center" vertical="center" wrapText="1"/>
    </xf>
    <xf numFmtId="186" fontId="22" fillId="35" borderId="12" xfId="0" applyNumberFormat="1" applyFont="1" applyFill="1" applyBorder="1" applyAlignment="1">
      <alignment horizontal="center" vertical="center" wrapText="1"/>
    </xf>
    <xf numFmtId="186" fontId="22" fillId="34" borderId="27" xfId="0" applyNumberFormat="1" applyFont="1" applyFill="1" applyBorder="1" applyAlignment="1">
      <alignment horizontal="center" vertical="center" wrapText="1"/>
    </xf>
    <xf numFmtId="186" fontId="22" fillId="35" borderId="28" xfId="0" applyNumberFormat="1" applyFont="1" applyFill="1" applyBorder="1" applyAlignment="1">
      <alignment horizontal="center" vertical="center" wrapText="1"/>
    </xf>
    <xf numFmtId="186" fontId="22" fillId="35" borderId="29" xfId="0" applyNumberFormat="1" applyFont="1" applyFill="1" applyBorder="1" applyAlignment="1">
      <alignment horizontal="center" vertical="center" wrapText="1"/>
    </xf>
    <xf numFmtId="185" fontId="32" fillId="35" borderId="16" xfId="0" applyNumberFormat="1" applyFont="1" applyFill="1" applyBorder="1" applyAlignment="1">
      <alignment horizontal="center" vertical="center" wrapText="1"/>
    </xf>
    <xf numFmtId="185" fontId="32" fillId="35" borderId="11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186" fontId="4" fillId="0" borderId="16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 wrapText="1"/>
    </xf>
    <xf numFmtId="186" fontId="4" fillId="0" borderId="22" xfId="0" applyNumberFormat="1" applyFont="1" applyFill="1" applyBorder="1" applyAlignment="1">
      <alignment horizontal="center" vertical="center" wrapText="1"/>
    </xf>
    <xf numFmtId="186" fontId="4" fillId="0" borderId="26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85" fontId="15" fillId="35" borderId="22" xfId="0" applyNumberFormat="1" applyFont="1" applyFill="1" applyBorder="1" applyAlignment="1">
      <alignment horizontal="center" vertical="center" wrapText="1"/>
    </xf>
    <xf numFmtId="185" fontId="15" fillId="35" borderId="26" xfId="0" applyNumberFormat="1" applyFont="1" applyFill="1" applyBorder="1" applyAlignment="1">
      <alignment horizontal="center" vertical="center" wrapText="1"/>
    </xf>
    <xf numFmtId="186" fontId="37" fillId="0" borderId="0" xfId="0" applyNumberFormat="1" applyFont="1" applyFill="1" applyAlignment="1">
      <alignment horizontal="left" vertical="center" wrapText="1"/>
    </xf>
    <xf numFmtId="186" fontId="29" fillId="34" borderId="0" xfId="0" applyNumberFormat="1" applyFont="1" applyFill="1" applyBorder="1" applyAlignment="1">
      <alignment horizontal="left" vertical="center" wrapText="1"/>
    </xf>
    <xf numFmtId="186" fontId="25" fillId="34" borderId="22" xfId="54" applyNumberFormat="1" applyFont="1" applyFill="1" applyBorder="1" applyAlignment="1">
      <alignment horizontal="center" vertical="center" wrapText="1"/>
      <protection/>
    </xf>
    <xf numFmtId="186" fontId="25" fillId="34" borderId="30" xfId="54" applyNumberFormat="1" applyFont="1" applyFill="1" applyBorder="1" applyAlignment="1">
      <alignment horizontal="center" vertical="center" wrapText="1"/>
      <protection/>
    </xf>
    <xf numFmtId="0" fontId="23" fillId="34" borderId="0" xfId="0" applyFont="1" applyFill="1" applyBorder="1" applyAlignment="1">
      <alignment horizontal="center" vertical="center" wrapText="1"/>
    </xf>
    <xf numFmtId="186" fontId="26" fillId="35" borderId="10" xfId="0" applyNumberFormat="1" applyFont="1" applyFill="1" applyBorder="1" applyAlignment="1">
      <alignment horizontal="center" vertical="center" wrapText="1"/>
    </xf>
    <xf numFmtId="186" fontId="26" fillId="35" borderId="12" xfId="0" applyNumberFormat="1" applyFont="1" applyFill="1" applyBorder="1" applyAlignment="1">
      <alignment horizontal="center" vertical="center" wrapText="1"/>
    </xf>
    <xf numFmtId="186" fontId="89" fillId="35" borderId="10" xfId="0" applyNumberFormat="1" applyFont="1" applyFill="1" applyBorder="1" applyAlignment="1">
      <alignment horizontal="center" vertical="center" wrapText="1"/>
    </xf>
    <xf numFmtId="186" fontId="89" fillId="35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емонты за янв.ноябрь 20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4"/>
  <sheetViews>
    <sheetView zoomScale="75" zoomScaleNormal="75" zoomScalePageLayoutView="0" workbookViewId="0" topLeftCell="A2">
      <pane xSplit="2" ySplit="2" topLeftCell="C179" activePane="bottomRight" state="frozen"/>
      <selection pane="topLeft" activeCell="A2" sqref="A2"/>
      <selection pane="topRight" activeCell="C2" sqref="C2"/>
      <selection pane="bottomLeft" activeCell="A4" sqref="A4"/>
      <selection pane="bottomRight" activeCell="H207" sqref="H207"/>
    </sheetView>
  </sheetViews>
  <sheetFormatPr defaultColWidth="9.125" defaultRowHeight="12.75"/>
  <cols>
    <col min="1" max="1" width="5.00390625" style="119" customWidth="1"/>
    <col min="2" max="2" width="26.00390625" style="117" customWidth="1"/>
    <col min="3" max="7" width="11.375" style="117" customWidth="1"/>
    <col min="8" max="8" width="12.00390625" style="117" customWidth="1"/>
    <col min="9" max="10" width="10.125" style="117" customWidth="1"/>
    <col min="11" max="11" width="10.00390625" style="117" customWidth="1"/>
    <col min="12" max="17" width="11.00390625" style="117" customWidth="1"/>
    <col min="18" max="18" width="10.625" style="117" customWidth="1"/>
    <col min="19" max="21" width="9.125" style="117" customWidth="1"/>
    <col min="22" max="22" width="10.625" style="117" customWidth="1"/>
    <col min="23" max="23" width="9.125" style="117" customWidth="1"/>
    <col min="24" max="24" width="10.875" style="117" customWidth="1"/>
    <col min="25" max="26" width="9.125" style="117" customWidth="1"/>
    <col min="27" max="27" width="17.125" style="118" customWidth="1"/>
    <col min="28" max="37" width="9.125" style="118" customWidth="1"/>
    <col min="38" max="16384" width="9.125" style="118" customWidth="1"/>
  </cols>
  <sheetData>
    <row r="1" spans="1:37" s="28" customFormat="1" ht="46.5" customHeight="1">
      <c r="A1" s="363" t="s">
        <v>219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</row>
    <row r="2" spans="1:37" s="28" customFormat="1" ht="49.5" customHeight="1">
      <c r="A2" s="364" t="s">
        <v>0</v>
      </c>
      <c r="B2" s="365" t="s">
        <v>1</v>
      </c>
      <c r="C2" s="123"/>
      <c r="D2" s="123"/>
      <c r="E2" s="123"/>
      <c r="F2" s="123"/>
      <c r="G2" s="123"/>
      <c r="H2" s="367" t="s">
        <v>38</v>
      </c>
      <c r="I2" s="367"/>
      <c r="J2" s="367"/>
      <c r="K2" s="367"/>
      <c r="L2" s="367"/>
      <c r="M2" s="121"/>
      <c r="N2" s="121"/>
      <c r="O2" s="121"/>
      <c r="P2" s="121"/>
      <c r="Q2" s="121"/>
      <c r="R2" s="367" t="s">
        <v>39</v>
      </c>
      <c r="S2" s="367"/>
      <c r="T2" s="367"/>
      <c r="U2" s="367"/>
      <c r="V2" s="367"/>
      <c r="W2" s="367" t="s">
        <v>31</v>
      </c>
      <c r="X2" s="367"/>
      <c r="Y2" s="367"/>
      <c r="Z2" s="367"/>
      <c r="AA2" s="367"/>
      <c r="AB2" s="367" t="s">
        <v>45</v>
      </c>
      <c r="AC2" s="367"/>
      <c r="AD2" s="367"/>
      <c r="AE2" s="368"/>
      <c r="AF2" s="367"/>
      <c r="AG2" s="367" t="s">
        <v>218</v>
      </c>
      <c r="AH2" s="367"/>
      <c r="AI2" s="367"/>
      <c r="AJ2" s="368"/>
      <c r="AK2" s="367"/>
    </row>
    <row r="3" spans="1:37" s="28" customFormat="1" ht="111.75" customHeight="1">
      <c r="A3" s="364"/>
      <c r="B3" s="366"/>
      <c r="C3" s="131"/>
      <c r="D3" s="131"/>
      <c r="E3" s="131"/>
      <c r="F3" s="131"/>
      <c r="G3" s="131"/>
      <c r="H3" s="37" t="s">
        <v>26</v>
      </c>
      <c r="I3" s="35" t="s">
        <v>35</v>
      </c>
      <c r="J3" s="35" t="s">
        <v>36</v>
      </c>
      <c r="K3" s="35" t="s">
        <v>34</v>
      </c>
      <c r="L3" s="38" t="s">
        <v>33</v>
      </c>
      <c r="M3" s="36"/>
      <c r="N3" s="36"/>
      <c r="O3" s="36"/>
      <c r="P3" s="36"/>
      <c r="Q3" s="36"/>
      <c r="R3" s="10" t="s">
        <v>27</v>
      </c>
      <c r="S3" s="35" t="s">
        <v>50</v>
      </c>
      <c r="T3" s="35" t="s">
        <v>36</v>
      </c>
      <c r="U3" s="35" t="s">
        <v>34</v>
      </c>
      <c r="V3" s="35" t="s">
        <v>33</v>
      </c>
      <c r="W3" s="10" t="s">
        <v>27</v>
      </c>
      <c r="X3" s="35" t="s">
        <v>50</v>
      </c>
      <c r="Y3" s="35" t="s">
        <v>36</v>
      </c>
      <c r="Z3" s="35" t="s">
        <v>34</v>
      </c>
      <c r="AA3" s="35" t="s">
        <v>33</v>
      </c>
      <c r="AB3" s="10" t="s">
        <v>27</v>
      </c>
      <c r="AC3" s="35" t="s">
        <v>50</v>
      </c>
      <c r="AD3" s="35" t="s">
        <v>36</v>
      </c>
      <c r="AE3" s="35" t="s">
        <v>34</v>
      </c>
      <c r="AF3" s="35" t="s">
        <v>33</v>
      </c>
      <c r="AG3" s="10" t="s">
        <v>27</v>
      </c>
      <c r="AH3" s="35" t="s">
        <v>50</v>
      </c>
      <c r="AI3" s="35" t="s">
        <v>36</v>
      </c>
      <c r="AJ3" s="35" t="s">
        <v>34</v>
      </c>
      <c r="AK3" s="35" t="s">
        <v>33</v>
      </c>
    </row>
    <row r="4" spans="1:37" s="28" customFormat="1" ht="20.25" customHeight="1">
      <c r="A4" s="6"/>
      <c r="B4" s="6">
        <v>2</v>
      </c>
      <c r="C4" s="6"/>
      <c r="D4" s="6"/>
      <c r="E4" s="6"/>
      <c r="F4" s="6"/>
      <c r="G4" s="6"/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/>
      <c r="N4" s="6"/>
      <c r="O4" s="6"/>
      <c r="P4" s="6"/>
      <c r="Q4" s="6"/>
      <c r="R4" s="6">
        <v>23</v>
      </c>
      <c r="S4" s="6">
        <v>24</v>
      </c>
      <c r="T4" s="6">
        <v>25</v>
      </c>
      <c r="U4" s="6">
        <v>26</v>
      </c>
      <c r="V4" s="6">
        <v>27</v>
      </c>
      <c r="W4" s="6">
        <v>28</v>
      </c>
      <c r="X4" s="6">
        <v>29</v>
      </c>
      <c r="Y4" s="6">
        <v>30</v>
      </c>
      <c r="Z4" s="6">
        <v>31</v>
      </c>
      <c r="AA4" s="6">
        <v>32</v>
      </c>
      <c r="AB4" s="6">
        <v>33</v>
      </c>
      <c r="AC4" s="6">
        <v>34</v>
      </c>
      <c r="AD4" s="6">
        <v>35</v>
      </c>
      <c r="AE4" s="6">
        <v>36</v>
      </c>
      <c r="AF4" s="6">
        <v>37</v>
      </c>
      <c r="AG4" s="6">
        <v>38</v>
      </c>
      <c r="AH4" s="6">
        <v>39</v>
      </c>
      <c r="AI4" s="6">
        <v>40</v>
      </c>
      <c r="AJ4" s="6">
        <v>41</v>
      </c>
      <c r="AK4" s="6">
        <v>42</v>
      </c>
    </row>
    <row r="5" spans="1:37" s="28" customFormat="1" ht="31.5" customHeight="1">
      <c r="A5" s="3"/>
      <c r="B5" s="1" t="s">
        <v>10</v>
      </c>
      <c r="C5" s="132"/>
      <c r="D5" s="132"/>
      <c r="E5" s="132"/>
      <c r="F5" s="132"/>
      <c r="G5" s="132"/>
      <c r="H5" s="39">
        <f aca="true" t="shared" si="0" ref="H5:AI5">H6</f>
        <v>2172.257</v>
      </c>
      <c r="I5" s="7">
        <f t="shared" si="0"/>
        <v>0</v>
      </c>
      <c r="J5" s="7">
        <f t="shared" si="0"/>
        <v>172.257</v>
      </c>
      <c r="K5" s="7">
        <f t="shared" si="0"/>
        <v>2000</v>
      </c>
      <c r="L5" s="40">
        <f t="shared" si="0"/>
        <v>0</v>
      </c>
      <c r="M5" s="41"/>
      <c r="N5" s="41"/>
      <c r="O5" s="41"/>
      <c r="P5" s="41"/>
      <c r="Q5" s="41"/>
      <c r="R5" s="7">
        <f t="shared" si="0"/>
        <v>2172.257</v>
      </c>
      <c r="S5" s="7">
        <f t="shared" si="0"/>
        <v>0</v>
      </c>
      <c r="T5" s="7">
        <f t="shared" si="0"/>
        <v>172.257</v>
      </c>
      <c r="U5" s="7">
        <f t="shared" si="0"/>
        <v>2000</v>
      </c>
      <c r="V5" s="7">
        <f t="shared" si="0"/>
        <v>0</v>
      </c>
      <c r="W5" s="7">
        <f t="shared" si="0"/>
        <v>893.39471</v>
      </c>
      <c r="X5" s="7">
        <f t="shared" si="0"/>
        <v>0</v>
      </c>
      <c r="Y5" s="7">
        <f t="shared" si="0"/>
        <v>405.89471</v>
      </c>
      <c r="Z5" s="7">
        <f t="shared" si="0"/>
        <v>487.5</v>
      </c>
      <c r="AA5" s="7">
        <f t="shared" si="0"/>
        <v>0</v>
      </c>
      <c r="AB5" s="7">
        <f t="shared" si="0"/>
        <v>3065.65171</v>
      </c>
      <c r="AC5" s="7">
        <f t="shared" si="0"/>
        <v>0</v>
      </c>
      <c r="AD5" s="7">
        <f t="shared" si="0"/>
        <v>578.15171</v>
      </c>
      <c r="AE5" s="7">
        <f t="shared" si="0"/>
        <v>2487.5</v>
      </c>
      <c r="AF5" s="7">
        <f t="shared" si="0"/>
        <v>0</v>
      </c>
      <c r="AG5" s="20" t="e">
        <f t="shared" si="0"/>
        <v>#REF!</v>
      </c>
      <c r="AH5" s="7" t="e">
        <f t="shared" si="0"/>
        <v>#REF!</v>
      </c>
      <c r="AI5" s="7" t="e">
        <f t="shared" si="0"/>
        <v>#REF!</v>
      </c>
      <c r="AJ5" s="7" t="e">
        <f>AJ6</f>
        <v>#REF!</v>
      </c>
      <c r="AK5" s="7" t="e">
        <f>AK6</f>
        <v>#REF!</v>
      </c>
    </row>
    <row r="6" spans="1:37" s="28" customFormat="1" ht="21.75" customHeight="1">
      <c r="A6" s="85">
        <v>1</v>
      </c>
      <c r="B6" s="72" t="s">
        <v>2</v>
      </c>
      <c r="C6" s="133"/>
      <c r="D6" s="133"/>
      <c r="E6" s="133"/>
      <c r="F6" s="133"/>
      <c r="G6" s="133"/>
      <c r="H6" s="37">
        <f>I6+J6+K6+L6</f>
        <v>2172.257</v>
      </c>
      <c r="I6" s="11"/>
      <c r="J6" s="11">
        <v>172.257</v>
      </c>
      <c r="K6" s="11">
        <v>2000</v>
      </c>
      <c r="L6" s="49"/>
      <c r="M6" s="46"/>
      <c r="N6" s="46"/>
      <c r="O6" s="46"/>
      <c r="P6" s="46"/>
      <c r="Q6" s="46"/>
      <c r="R6" s="11">
        <f>S6+T6+U6+V6</f>
        <v>2172.257</v>
      </c>
      <c r="S6" s="11"/>
      <c r="T6" s="11">
        <v>172.257</v>
      </c>
      <c r="U6" s="11">
        <v>2000</v>
      </c>
      <c r="V6" s="11"/>
      <c r="W6" s="11">
        <f>X6+Y6+Z6+AA6</f>
        <v>893.39471</v>
      </c>
      <c r="X6" s="11"/>
      <c r="Y6" s="11">
        <v>405.89471</v>
      </c>
      <c r="Z6" s="11">
        <v>487.5</v>
      </c>
      <c r="AA6" s="11"/>
      <c r="AB6" s="11">
        <f>AC6+AD6+AE6+AF6</f>
        <v>3065.65171</v>
      </c>
      <c r="AC6" s="11">
        <f>S6+X6</f>
        <v>0</v>
      </c>
      <c r="AD6" s="11">
        <f>T6+Y6</f>
        <v>578.15171</v>
      </c>
      <c r="AE6" s="11">
        <f>U6+Z6</f>
        <v>2487.5</v>
      </c>
      <c r="AF6" s="11">
        <f>V6+AA6</f>
        <v>0</v>
      </c>
      <c r="AG6" s="10" t="e">
        <f>AH6+AI6+AJ6+AK6</f>
        <v>#REF!</v>
      </c>
      <c r="AH6" s="11" t="e">
        <f>#REF!-S6</f>
        <v>#REF!</v>
      </c>
      <c r="AI6" s="11" t="e">
        <f>#REF!-T6</f>
        <v>#REF!</v>
      </c>
      <c r="AJ6" s="11" t="e">
        <f>#REF!-U6</f>
        <v>#REF!</v>
      </c>
      <c r="AK6" s="11" t="e">
        <f>#REF!-V6</f>
        <v>#REF!</v>
      </c>
    </row>
    <row r="7" spans="1:37" s="28" customFormat="1" ht="20.25" customHeight="1">
      <c r="A7" s="4"/>
      <c r="B7" s="1" t="s">
        <v>11</v>
      </c>
      <c r="C7" s="132"/>
      <c r="D7" s="132"/>
      <c r="E7" s="132"/>
      <c r="F7" s="132"/>
      <c r="G7" s="132"/>
      <c r="H7" s="39">
        <f>SUM(H8:H9)</f>
        <v>11739.731</v>
      </c>
      <c r="I7" s="7">
        <f>SUM(I8:I9)</f>
        <v>0</v>
      </c>
      <c r="J7" s="7">
        <f>SUM(J8:J9)</f>
        <v>391.398</v>
      </c>
      <c r="K7" s="7">
        <f>SUM(K8:K9)</f>
        <v>11348.333</v>
      </c>
      <c r="L7" s="40">
        <f>SUM(L8:L9)</f>
        <v>0</v>
      </c>
      <c r="M7" s="41"/>
      <c r="N7" s="41"/>
      <c r="O7" s="41"/>
      <c r="P7" s="41"/>
      <c r="Q7" s="41"/>
      <c r="R7" s="7">
        <f>SUM(R8:R9)</f>
        <v>2629.13</v>
      </c>
      <c r="S7" s="7">
        <f>SUM(S8:S9)</f>
        <v>0</v>
      </c>
      <c r="T7" s="7">
        <f>SUM(T8:T9)</f>
        <v>280.797</v>
      </c>
      <c r="U7" s="7">
        <f>SUM(U8:U9)</f>
        <v>2348.333</v>
      </c>
      <c r="V7" s="7">
        <f>SUM(V8:V9)</f>
        <v>0</v>
      </c>
      <c r="W7" s="7">
        <f aca="true" t="shared" si="1" ref="W7:AK7">SUM(W8:W9)</f>
        <v>471.72328</v>
      </c>
      <c r="X7" s="7">
        <f t="shared" si="1"/>
        <v>0</v>
      </c>
      <c r="Y7" s="7">
        <f t="shared" si="1"/>
        <v>25.54326</v>
      </c>
      <c r="Z7" s="7">
        <f t="shared" si="1"/>
        <v>446.18002</v>
      </c>
      <c r="AA7" s="7">
        <f t="shared" si="1"/>
        <v>0</v>
      </c>
      <c r="AB7" s="7">
        <f t="shared" si="1"/>
        <v>3100.8532800000003</v>
      </c>
      <c r="AC7" s="7">
        <f t="shared" si="1"/>
        <v>0</v>
      </c>
      <c r="AD7" s="7">
        <f t="shared" si="1"/>
        <v>306.34026</v>
      </c>
      <c r="AE7" s="7">
        <f t="shared" si="1"/>
        <v>2794.5130200000003</v>
      </c>
      <c r="AF7" s="7">
        <f t="shared" si="1"/>
        <v>0</v>
      </c>
      <c r="AG7" s="20" t="e">
        <f t="shared" si="1"/>
        <v>#REF!</v>
      </c>
      <c r="AH7" s="7" t="e">
        <f t="shared" si="1"/>
        <v>#REF!</v>
      </c>
      <c r="AI7" s="7" t="e">
        <f t="shared" si="1"/>
        <v>#REF!</v>
      </c>
      <c r="AJ7" s="7" t="e">
        <f t="shared" si="1"/>
        <v>#REF!</v>
      </c>
      <c r="AK7" s="7" t="e">
        <f t="shared" si="1"/>
        <v>#REF!</v>
      </c>
    </row>
    <row r="8" spans="1:37" s="28" customFormat="1" ht="20.25" customHeight="1">
      <c r="A8" s="85">
        <v>2</v>
      </c>
      <c r="B8" s="27" t="s">
        <v>51</v>
      </c>
      <c r="C8" s="134"/>
      <c r="D8" s="134"/>
      <c r="E8" s="134"/>
      <c r="F8" s="134"/>
      <c r="G8" s="134"/>
      <c r="H8" s="37">
        <f>I8+J8+K8+L8</f>
        <v>2629.13</v>
      </c>
      <c r="I8" s="11"/>
      <c r="J8" s="11">
        <v>280.797</v>
      </c>
      <c r="K8" s="11">
        <v>2348.333</v>
      </c>
      <c r="L8" s="49"/>
      <c r="M8" s="46"/>
      <c r="N8" s="46"/>
      <c r="O8" s="46"/>
      <c r="P8" s="46"/>
      <c r="Q8" s="46"/>
      <c r="R8" s="11">
        <f>S8+T8+U8+V8</f>
        <v>2629.13</v>
      </c>
      <c r="S8" s="11"/>
      <c r="T8" s="11">
        <v>280.797</v>
      </c>
      <c r="U8" s="11">
        <v>2348.333</v>
      </c>
      <c r="V8" s="11"/>
      <c r="W8" s="11">
        <f>X8+Y8+Z8+AA8</f>
        <v>471.72328</v>
      </c>
      <c r="X8" s="11"/>
      <c r="Y8" s="11">
        <v>25.54326</v>
      </c>
      <c r="Z8" s="11">
        <v>446.18002</v>
      </c>
      <c r="AA8" s="11"/>
      <c r="AB8" s="11">
        <f>AC8+AD8+AE8+AF8</f>
        <v>3100.8532800000003</v>
      </c>
      <c r="AC8" s="11">
        <f aca="true" t="shared" si="2" ref="AC8:AF9">S8+X8</f>
        <v>0</v>
      </c>
      <c r="AD8" s="11">
        <f t="shared" si="2"/>
        <v>306.34026</v>
      </c>
      <c r="AE8" s="11">
        <f t="shared" si="2"/>
        <v>2794.5130200000003</v>
      </c>
      <c r="AF8" s="11">
        <f t="shared" si="2"/>
        <v>0</v>
      </c>
      <c r="AG8" s="10" t="e">
        <f>AH8+AI8+AJ8+AK8</f>
        <v>#REF!</v>
      </c>
      <c r="AH8" s="11" t="e">
        <f>#REF!-S8</f>
        <v>#REF!</v>
      </c>
      <c r="AI8" s="11" t="e">
        <f>#REF!-T8</f>
        <v>#REF!</v>
      </c>
      <c r="AJ8" s="11" t="e">
        <f>#REF!-U8</f>
        <v>#REF!</v>
      </c>
      <c r="AK8" s="11" t="e">
        <f>#REF!-V8</f>
        <v>#REF!</v>
      </c>
    </row>
    <row r="9" spans="1:37" s="28" customFormat="1" ht="21.75" customHeight="1">
      <c r="A9" s="85">
        <v>3</v>
      </c>
      <c r="B9" s="27" t="s">
        <v>52</v>
      </c>
      <c r="C9" s="134"/>
      <c r="D9" s="134"/>
      <c r="E9" s="134"/>
      <c r="F9" s="134"/>
      <c r="G9" s="134"/>
      <c r="H9" s="37">
        <f>I9+J9+K9+L9</f>
        <v>9110.601</v>
      </c>
      <c r="I9" s="11"/>
      <c r="J9" s="11">
        <v>110.601</v>
      </c>
      <c r="K9" s="11">
        <v>9000</v>
      </c>
      <c r="L9" s="49"/>
      <c r="M9" s="46"/>
      <c r="N9" s="46"/>
      <c r="O9" s="46"/>
      <c r="P9" s="46"/>
      <c r="Q9" s="46"/>
      <c r="R9" s="11">
        <f>S9+T9+U9+V9</f>
        <v>0</v>
      </c>
      <c r="S9" s="11"/>
      <c r="T9" s="11"/>
      <c r="U9" s="11"/>
      <c r="V9" s="11"/>
      <c r="W9" s="11">
        <f>X9+Y9+Z9+AA9</f>
        <v>0</v>
      </c>
      <c r="X9" s="11"/>
      <c r="Y9" s="11"/>
      <c r="Z9" s="11"/>
      <c r="AA9" s="11"/>
      <c r="AB9" s="11">
        <f>AC9+AD9+AE9+AF9</f>
        <v>0</v>
      </c>
      <c r="AC9" s="11">
        <f t="shared" si="2"/>
        <v>0</v>
      </c>
      <c r="AD9" s="11">
        <f t="shared" si="2"/>
        <v>0</v>
      </c>
      <c r="AE9" s="11">
        <f t="shared" si="2"/>
        <v>0</v>
      </c>
      <c r="AF9" s="11">
        <f t="shared" si="2"/>
        <v>0</v>
      </c>
      <c r="AG9" s="10" t="e">
        <f>AH9+AI9+AJ9+AK9</f>
        <v>#REF!</v>
      </c>
      <c r="AH9" s="11" t="e">
        <f>#REF!-S9</f>
        <v>#REF!</v>
      </c>
      <c r="AI9" s="11" t="e">
        <f>#REF!-T9</f>
        <v>#REF!</v>
      </c>
      <c r="AJ9" s="11" t="e">
        <f>#REF!-U9</f>
        <v>#REF!</v>
      </c>
      <c r="AK9" s="11" t="e">
        <f>#REF!-V9</f>
        <v>#REF!</v>
      </c>
    </row>
    <row r="10" spans="1:37" s="28" customFormat="1" ht="20.25" customHeight="1">
      <c r="A10" s="4"/>
      <c r="B10" s="1" t="s">
        <v>12</v>
      </c>
      <c r="C10" s="132"/>
      <c r="D10" s="132"/>
      <c r="E10" s="132"/>
      <c r="F10" s="132"/>
      <c r="G10" s="132"/>
      <c r="H10" s="39">
        <f>SUM(H11:H27)</f>
        <v>34016.141</v>
      </c>
      <c r="I10" s="7">
        <f>SUM(I11:I27)</f>
        <v>4735</v>
      </c>
      <c r="J10" s="7">
        <f>SUM(J11:J27)</f>
        <v>23498.22299999999</v>
      </c>
      <c r="K10" s="7">
        <f>SUM(K11:K27)</f>
        <v>5000</v>
      </c>
      <c r="L10" s="40">
        <f>SUM(L11:L27)</f>
        <v>782.918</v>
      </c>
      <c r="M10" s="41"/>
      <c r="N10" s="41"/>
      <c r="O10" s="41"/>
      <c r="P10" s="41"/>
      <c r="Q10" s="41"/>
      <c r="R10" s="7">
        <f>SUM(R11:R27)</f>
        <v>23697.99389</v>
      </c>
      <c r="S10" s="7">
        <f>SUM(S11:S27)</f>
        <v>0</v>
      </c>
      <c r="T10" s="7">
        <f>SUM(T11:T27)</f>
        <v>22944.566729999995</v>
      </c>
      <c r="U10" s="7">
        <f>SUM(U11:U27)</f>
        <v>0</v>
      </c>
      <c r="V10" s="7">
        <f>SUM(V11:V27)</f>
        <v>753.42716</v>
      </c>
      <c r="W10" s="7">
        <f aca="true" t="shared" si="3" ref="W10:AK10">SUM(W11:W27)</f>
        <v>3847.5941100000005</v>
      </c>
      <c r="X10" s="7">
        <f t="shared" si="3"/>
        <v>0</v>
      </c>
      <c r="Y10" s="7">
        <f t="shared" si="3"/>
        <v>3652.3126000000007</v>
      </c>
      <c r="Z10" s="7">
        <f t="shared" si="3"/>
        <v>0</v>
      </c>
      <c r="AA10" s="7">
        <f t="shared" si="3"/>
        <v>195.28151</v>
      </c>
      <c r="AB10" s="7">
        <f t="shared" si="3"/>
        <v>27545.588</v>
      </c>
      <c r="AC10" s="7">
        <f t="shared" si="3"/>
        <v>0</v>
      </c>
      <c r="AD10" s="7">
        <f t="shared" si="3"/>
        <v>26596.87933</v>
      </c>
      <c r="AE10" s="7">
        <f t="shared" si="3"/>
        <v>0</v>
      </c>
      <c r="AF10" s="7">
        <f t="shared" si="3"/>
        <v>948.70867</v>
      </c>
      <c r="AG10" s="20" t="e">
        <f t="shared" si="3"/>
        <v>#REF!</v>
      </c>
      <c r="AH10" s="7" t="e">
        <f t="shared" si="3"/>
        <v>#REF!</v>
      </c>
      <c r="AI10" s="7" t="e">
        <f t="shared" si="3"/>
        <v>#REF!</v>
      </c>
      <c r="AJ10" s="7" t="e">
        <f t="shared" si="3"/>
        <v>#REF!</v>
      </c>
      <c r="AK10" s="7" t="e">
        <f t="shared" si="3"/>
        <v>#REF!</v>
      </c>
    </row>
    <row r="11" spans="1:37" s="28" customFormat="1" ht="20.25" customHeight="1">
      <c r="A11" s="85">
        <v>4</v>
      </c>
      <c r="B11" s="73" t="s">
        <v>12</v>
      </c>
      <c r="C11" s="135"/>
      <c r="D11" s="135"/>
      <c r="E11" s="135"/>
      <c r="F11" s="135"/>
      <c r="G11" s="135"/>
      <c r="H11" s="37">
        <f aca="true" t="shared" si="4" ref="H11:H27">I11+J11+K11+L11</f>
        <v>4735</v>
      </c>
      <c r="I11" s="12">
        <v>4735</v>
      </c>
      <c r="J11" s="12"/>
      <c r="K11" s="12"/>
      <c r="L11" s="74"/>
      <c r="M11" s="125"/>
      <c r="N11" s="125"/>
      <c r="O11" s="125"/>
      <c r="P11" s="125"/>
      <c r="Q11" s="125"/>
      <c r="R11" s="11">
        <f aca="true" t="shared" si="5" ref="R11:R27">S11+T11+U11+V11</f>
        <v>0</v>
      </c>
      <c r="S11" s="11"/>
      <c r="T11" s="11"/>
      <c r="U11" s="11"/>
      <c r="V11" s="11"/>
      <c r="W11" s="11">
        <f aca="true" t="shared" si="6" ref="W11:W27">X11+Y11+Z11+AA11</f>
        <v>0</v>
      </c>
      <c r="X11" s="11"/>
      <c r="Y11" s="11"/>
      <c r="Z11" s="11"/>
      <c r="AA11" s="11"/>
      <c r="AB11" s="11">
        <f aca="true" t="shared" si="7" ref="AB11:AB27">AC11+AD11+AE11+AF11</f>
        <v>0</v>
      </c>
      <c r="AC11" s="11">
        <f aca="true" t="shared" si="8" ref="AC11:AF27">S11+X11</f>
        <v>0</v>
      </c>
      <c r="AD11" s="11">
        <f t="shared" si="8"/>
        <v>0</v>
      </c>
      <c r="AE11" s="11">
        <f t="shared" si="8"/>
        <v>0</v>
      </c>
      <c r="AF11" s="11">
        <f t="shared" si="8"/>
        <v>0</v>
      </c>
      <c r="AG11" s="10" t="e">
        <f aca="true" t="shared" si="9" ref="AG11:AG27">AH11+AI11+AJ11+AK11</f>
        <v>#REF!</v>
      </c>
      <c r="AH11" s="11" t="e">
        <f>#REF!-S11</f>
        <v>#REF!</v>
      </c>
      <c r="AI11" s="11" t="e">
        <f>#REF!-T11</f>
        <v>#REF!</v>
      </c>
      <c r="AJ11" s="11" t="e">
        <f>#REF!-U11</f>
        <v>#REF!</v>
      </c>
      <c r="AK11" s="11" t="e">
        <f>#REF!-V11</f>
        <v>#REF!</v>
      </c>
    </row>
    <row r="12" spans="1:37" s="28" customFormat="1" ht="20.25" customHeight="1">
      <c r="A12" s="85">
        <v>5</v>
      </c>
      <c r="B12" s="27" t="s">
        <v>53</v>
      </c>
      <c r="C12" s="134"/>
      <c r="D12" s="134"/>
      <c r="E12" s="134"/>
      <c r="F12" s="134"/>
      <c r="G12" s="134"/>
      <c r="H12" s="37">
        <f t="shared" si="4"/>
        <v>1154.217</v>
      </c>
      <c r="I12" s="11"/>
      <c r="J12" s="12">
        <v>618.02</v>
      </c>
      <c r="K12" s="12"/>
      <c r="L12" s="49">
        <v>536.197</v>
      </c>
      <c r="M12" s="46"/>
      <c r="N12" s="46"/>
      <c r="O12" s="46"/>
      <c r="P12" s="46"/>
      <c r="Q12" s="46"/>
      <c r="R12" s="11">
        <f t="shared" si="5"/>
        <v>1096.91522</v>
      </c>
      <c r="S12" s="11"/>
      <c r="T12" s="11">
        <v>590.20906</v>
      </c>
      <c r="U12" s="11"/>
      <c r="V12" s="11">
        <v>506.70616</v>
      </c>
      <c r="W12" s="11">
        <f t="shared" si="6"/>
        <v>276.24815</v>
      </c>
      <c r="X12" s="11"/>
      <c r="Y12" s="11">
        <v>126.17364</v>
      </c>
      <c r="Z12" s="11"/>
      <c r="AA12" s="11">
        <v>150.07451</v>
      </c>
      <c r="AB12" s="11">
        <f t="shared" si="7"/>
        <v>1373.16337</v>
      </c>
      <c r="AC12" s="11">
        <f t="shared" si="8"/>
        <v>0</v>
      </c>
      <c r="AD12" s="11">
        <f t="shared" si="8"/>
        <v>716.3827</v>
      </c>
      <c r="AE12" s="11">
        <f t="shared" si="8"/>
        <v>0</v>
      </c>
      <c r="AF12" s="11">
        <f t="shared" si="8"/>
        <v>656.78067</v>
      </c>
      <c r="AG12" s="10" t="e">
        <f t="shared" si="9"/>
        <v>#REF!</v>
      </c>
      <c r="AH12" s="11" t="e">
        <f>#REF!-S12</f>
        <v>#REF!</v>
      </c>
      <c r="AI12" s="11" t="e">
        <f>#REF!-T12</f>
        <v>#REF!</v>
      </c>
      <c r="AJ12" s="11" t="e">
        <f>#REF!-U12</f>
        <v>#REF!</v>
      </c>
      <c r="AK12" s="11" t="e">
        <f>#REF!-V12</f>
        <v>#REF!</v>
      </c>
    </row>
    <row r="13" spans="1:37" s="28" customFormat="1" ht="20.25" customHeight="1">
      <c r="A13" s="85">
        <v>6</v>
      </c>
      <c r="B13" s="27" t="s">
        <v>54</v>
      </c>
      <c r="C13" s="134"/>
      <c r="D13" s="134"/>
      <c r="E13" s="134"/>
      <c r="F13" s="134"/>
      <c r="G13" s="134"/>
      <c r="H13" s="37">
        <f t="shared" si="4"/>
        <v>536.095</v>
      </c>
      <c r="I13" s="11"/>
      <c r="J13" s="11">
        <f>287.05+249.045</f>
        <v>536.095</v>
      </c>
      <c r="K13" s="11"/>
      <c r="L13" s="49"/>
      <c r="M13" s="46"/>
      <c r="N13" s="46"/>
      <c r="O13" s="46"/>
      <c r="P13" s="46"/>
      <c r="Q13" s="46"/>
      <c r="R13" s="11">
        <f t="shared" si="5"/>
        <v>536.095</v>
      </c>
      <c r="S13" s="11"/>
      <c r="T13" s="11">
        <f>287.05+249.045</f>
        <v>536.095</v>
      </c>
      <c r="U13" s="11"/>
      <c r="V13" s="11"/>
      <c r="W13" s="11">
        <f t="shared" si="6"/>
        <v>99.772</v>
      </c>
      <c r="X13" s="11"/>
      <c r="Y13" s="11">
        <v>99.772</v>
      </c>
      <c r="Z13" s="11"/>
      <c r="AA13" s="11"/>
      <c r="AB13" s="11">
        <f t="shared" si="7"/>
        <v>635.8670000000001</v>
      </c>
      <c r="AC13" s="11">
        <f t="shared" si="8"/>
        <v>0</v>
      </c>
      <c r="AD13" s="11">
        <f t="shared" si="8"/>
        <v>635.8670000000001</v>
      </c>
      <c r="AE13" s="11">
        <f t="shared" si="8"/>
        <v>0</v>
      </c>
      <c r="AF13" s="11">
        <f t="shared" si="8"/>
        <v>0</v>
      </c>
      <c r="AG13" s="10" t="e">
        <f t="shared" si="9"/>
        <v>#REF!</v>
      </c>
      <c r="AH13" s="11" t="e">
        <f>#REF!-S13</f>
        <v>#REF!</v>
      </c>
      <c r="AI13" s="11" t="e">
        <f>#REF!-T13</f>
        <v>#REF!</v>
      </c>
      <c r="AJ13" s="11" t="e">
        <f>#REF!-U13</f>
        <v>#REF!</v>
      </c>
      <c r="AK13" s="11" t="e">
        <f>#REF!-V13</f>
        <v>#REF!</v>
      </c>
    </row>
    <row r="14" spans="1:37" s="28" customFormat="1" ht="22.5" customHeight="1">
      <c r="A14" s="85">
        <v>7</v>
      </c>
      <c r="B14" s="27" t="s">
        <v>55</v>
      </c>
      <c r="C14" s="134"/>
      <c r="D14" s="134"/>
      <c r="E14" s="134"/>
      <c r="F14" s="134"/>
      <c r="G14" s="134"/>
      <c r="H14" s="37">
        <f t="shared" si="4"/>
        <v>1739.043</v>
      </c>
      <c r="I14" s="11"/>
      <c r="J14" s="11">
        <v>1739.043</v>
      </c>
      <c r="K14" s="11"/>
      <c r="L14" s="49"/>
      <c r="M14" s="46"/>
      <c r="N14" s="46"/>
      <c r="O14" s="46"/>
      <c r="P14" s="46"/>
      <c r="Q14" s="46"/>
      <c r="R14" s="11">
        <f t="shared" si="5"/>
        <v>1739.043</v>
      </c>
      <c r="S14" s="11"/>
      <c r="T14" s="11">
        <v>1739.043</v>
      </c>
      <c r="U14" s="11"/>
      <c r="V14" s="11"/>
      <c r="W14" s="11">
        <f t="shared" si="6"/>
        <v>246.73242</v>
      </c>
      <c r="X14" s="11"/>
      <c r="Y14" s="11">
        <v>246.73242</v>
      </c>
      <c r="Z14" s="11"/>
      <c r="AA14" s="11"/>
      <c r="AB14" s="11">
        <f t="shared" si="7"/>
        <v>1985.77542</v>
      </c>
      <c r="AC14" s="11">
        <f t="shared" si="8"/>
        <v>0</v>
      </c>
      <c r="AD14" s="11">
        <f t="shared" si="8"/>
        <v>1985.77542</v>
      </c>
      <c r="AE14" s="11">
        <f t="shared" si="8"/>
        <v>0</v>
      </c>
      <c r="AF14" s="11">
        <f t="shared" si="8"/>
        <v>0</v>
      </c>
      <c r="AG14" s="10" t="e">
        <f t="shared" si="9"/>
        <v>#REF!</v>
      </c>
      <c r="AH14" s="11" t="e">
        <f>#REF!-S14</f>
        <v>#REF!</v>
      </c>
      <c r="AI14" s="11" t="e">
        <f>#REF!-T14</f>
        <v>#REF!</v>
      </c>
      <c r="AJ14" s="11" t="e">
        <f>#REF!-U14</f>
        <v>#REF!</v>
      </c>
      <c r="AK14" s="11" t="e">
        <f>#REF!-V14</f>
        <v>#REF!</v>
      </c>
    </row>
    <row r="15" spans="1:37" s="28" customFormat="1" ht="20.25" customHeight="1">
      <c r="A15" s="85">
        <v>8</v>
      </c>
      <c r="B15" s="27" t="s">
        <v>56</v>
      </c>
      <c r="C15" s="134"/>
      <c r="D15" s="134"/>
      <c r="E15" s="134"/>
      <c r="F15" s="134"/>
      <c r="G15" s="134"/>
      <c r="H15" s="37">
        <f t="shared" si="4"/>
        <v>11566.322</v>
      </c>
      <c r="I15" s="11"/>
      <c r="J15" s="11">
        <v>6566.322</v>
      </c>
      <c r="K15" s="11">
        <v>5000</v>
      </c>
      <c r="L15" s="49"/>
      <c r="M15" s="46"/>
      <c r="N15" s="46"/>
      <c r="O15" s="46"/>
      <c r="P15" s="46"/>
      <c r="Q15" s="46"/>
      <c r="R15" s="11">
        <f t="shared" si="5"/>
        <v>6566.322</v>
      </c>
      <c r="S15" s="11"/>
      <c r="T15" s="11">
        <f>5806.2+760.122</f>
        <v>6566.322</v>
      </c>
      <c r="U15" s="11"/>
      <c r="V15" s="11"/>
      <c r="W15" s="11">
        <f t="shared" si="6"/>
        <v>636.91</v>
      </c>
      <c r="X15" s="11"/>
      <c r="Y15" s="11">
        <f>237.607+399.303</f>
        <v>636.91</v>
      </c>
      <c r="Z15" s="11"/>
      <c r="AA15" s="11"/>
      <c r="AB15" s="11">
        <f t="shared" si="7"/>
        <v>7203.232</v>
      </c>
      <c r="AC15" s="11">
        <f t="shared" si="8"/>
        <v>0</v>
      </c>
      <c r="AD15" s="11">
        <f t="shared" si="8"/>
        <v>7203.232</v>
      </c>
      <c r="AE15" s="11">
        <f t="shared" si="8"/>
        <v>0</v>
      </c>
      <c r="AF15" s="11">
        <f t="shared" si="8"/>
        <v>0</v>
      </c>
      <c r="AG15" s="10" t="e">
        <f t="shared" si="9"/>
        <v>#REF!</v>
      </c>
      <c r="AH15" s="11" t="e">
        <f>#REF!-S15</f>
        <v>#REF!</v>
      </c>
      <c r="AI15" s="11" t="e">
        <f>#REF!-T15</f>
        <v>#REF!</v>
      </c>
      <c r="AJ15" s="11" t="e">
        <f>#REF!-U15</f>
        <v>#REF!</v>
      </c>
      <c r="AK15" s="11" t="e">
        <f>#REF!-V15</f>
        <v>#REF!</v>
      </c>
    </row>
    <row r="16" spans="1:37" s="28" customFormat="1" ht="20.25" customHeight="1">
      <c r="A16" s="85">
        <v>9</v>
      </c>
      <c r="B16" s="27" t="s">
        <v>57</v>
      </c>
      <c r="C16" s="134"/>
      <c r="D16" s="134"/>
      <c r="E16" s="134"/>
      <c r="F16" s="134"/>
      <c r="G16" s="134"/>
      <c r="H16" s="37">
        <f t="shared" si="4"/>
        <v>1007.507</v>
      </c>
      <c r="I16" s="11"/>
      <c r="J16" s="11">
        <v>1007.507</v>
      </c>
      <c r="K16" s="11"/>
      <c r="L16" s="49"/>
      <c r="M16" s="46"/>
      <c r="N16" s="46"/>
      <c r="O16" s="46"/>
      <c r="P16" s="46"/>
      <c r="Q16" s="46"/>
      <c r="R16" s="11">
        <f t="shared" si="5"/>
        <v>975.68624</v>
      </c>
      <c r="S16" s="11"/>
      <c r="T16" s="11">
        <f>975.68624</f>
        <v>975.68624</v>
      </c>
      <c r="U16" s="11"/>
      <c r="V16" s="11"/>
      <c r="W16" s="11">
        <f t="shared" si="6"/>
        <v>53.185</v>
      </c>
      <c r="X16" s="11"/>
      <c r="Y16" s="11">
        <v>53.185</v>
      </c>
      <c r="Z16" s="11"/>
      <c r="AA16" s="11"/>
      <c r="AB16" s="11">
        <f t="shared" si="7"/>
        <v>1028.87124</v>
      </c>
      <c r="AC16" s="11">
        <f t="shared" si="8"/>
        <v>0</v>
      </c>
      <c r="AD16" s="11">
        <f t="shared" si="8"/>
        <v>1028.87124</v>
      </c>
      <c r="AE16" s="11">
        <f t="shared" si="8"/>
        <v>0</v>
      </c>
      <c r="AF16" s="11">
        <f t="shared" si="8"/>
        <v>0</v>
      </c>
      <c r="AG16" s="10" t="e">
        <f t="shared" si="9"/>
        <v>#REF!</v>
      </c>
      <c r="AH16" s="11" t="e">
        <f>#REF!-S16</f>
        <v>#REF!</v>
      </c>
      <c r="AI16" s="11" t="e">
        <f>#REF!-T16</f>
        <v>#REF!</v>
      </c>
      <c r="AJ16" s="11" t="e">
        <f>#REF!-U16</f>
        <v>#REF!</v>
      </c>
      <c r="AK16" s="11" t="e">
        <f>#REF!-V16</f>
        <v>#REF!</v>
      </c>
    </row>
    <row r="17" spans="1:37" s="28" customFormat="1" ht="20.25" customHeight="1">
      <c r="A17" s="85">
        <v>10</v>
      </c>
      <c r="B17" s="27" t="s">
        <v>58</v>
      </c>
      <c r="C17" s="134"/>
      <c r="D17" s="134"/>
      <c r="E17" s="134"/>
      <c r="F17" s="134"/>
      <c r="G17" s="134"/>
      <c r="H17" s="37">
        <f t="shared" si="4"/>
        <v>359.85699999999997</v>
      </c>
      <c r="I17" s="11"/>
      <c r="J17" s="11">
        <f>192.684+167.173</f>
        <v>359.85699999999997</v>
      </c>
      <c r="K17" s="11"/>
      <c r="L17" s="49"/>
      <c r="M17" s="46"/>
      <c r="N17" s="46"/>
      <c r="O17" s="46"/>
      <c r="P17" s="46"/>
      <c r="Q17" s="46"/>
      <c r="R17" s="11">
        <f t="shared" si="5"/>
        <v>359.85699999999997</v>
      </c>
      <c r="S17" s="11"/>
      <c r="T17" s="11">
        <v>359.85699999999997</v>
      </c>
      <c r="U17" s="11"/>
      <c r="V17" s="11"/>
      <c r="W17" s="11">
        <f t="shared" si="6"/>
        <v>294.072</v>
      </c>
      <c r="X17" s="11"/>
      <c r="Y17" s="11">
        <v>294.072</v>
      </c>
      <c r="Z17" s="11"/>
      <c r="AA17" s="11"/>
      <c r="AB17" s="11">
        <f t="shared" si="7"/>
        <v>653.929</v>
      </c>
      <c r="AC17" s="11">
        <f t="shared" si="8"/>
        <v>0</v>
      </c>
      <c r="AD17" s="11">
        <f t="shared" si="8"/>
        <v>653.929</v>
      </c>
      <c r="AE17" s="11">
        <f t="shared" si="8"/>
        <v>0</v>
      </c>
      <c r="AF17" s="11">
        <f t="shared" si="8"/>
        <v>0</v>
      </c>
      <c r="AG17" s="10" t="e">
        <f t="shared" si="9"/>
        <v>#REF!</v>
      </c>
      <c r="AH17" s="11" t="e">
        <f>#REF!-S17</f>
        <v>#REF!</v>
      </c>
      <c r="AI17" s="11" t="e">
        <f>#REF!-T17</f>
        <v>#REF!</v>
      </c>
      <c r="AJ17" s="11" t="e">
        <f>#REF!-U17</f>
        <v>#REF!</v>
      </c>
      <c r="AK17" s="11" t="e">
        <f>#REF!-V17</f>
        <v>#REF!</v>
      </c>
    </row>
    <row r="18" spans="1:37" s="28" customFormat="1" ht="20.25" customHeight="1">
      <c r="A18" s="85">
        <v>11</v>
      </c>
      <c r="B18" s="27" t="s">
        <v>59</v>
      </c>
      <c r="C18" s="134"/>
      <c r="D18" s="134"/>
      <c r="E18" s="134"/>
      <c r="F18" s="134"/>
      <c r="G18" s="134"/>
      <c r="H18" s="37">
        <f t="shared" si="4"/>
        <v>1424.354</v>
      </c>
      <c r="I18" s="11"/>
      <c r="J18" s="11">
        <v>1424.354</v>
      </c>
      <c r="K18" s="11"/>
      <c r="L18" s="49"/>
      <c r="M18" s="46"/>
      <c r="N18" s="46"/>
      <c r="O18" s="46"/>
      <c r="P18" s="46"/>
      <c r="Q18" s="46"/>
      <c r="R18" s="11">
        <f t="shared" si="5"/>
        <v>1305.979</v>
      </c>
      <c r="S18" s="11"/>
      <c r="T18" s="11">
        <f>577.03+228.316+500.633</f>
        <v>1305.979</v>
      </c>
      <c r="U18" s="11"/>
      <c r="V18" s="11"/>
      <c r="W18" s="11">
        <f t="shared" si="6"/>
        <v>118.59783</v>
      </c>
      <c r="X18" s="11"/>
      <c r="Y18" s="11">
        <v>118.59783</v>
      </c>
      <c r="Z18" s="11"/>
      <c r="AA18" s="11"/>
      <c r="AB18" s="11">
        <f t="shared" si="7"/>
        <v>1424.57683</v>
      </c>
      <c r="AC18" s="11">
        <f t="shared" si="8"/>
        <v>0</v>
      </c>
      <c r="AD18" s="11">
        <f t="shared" si="8"/>
        <v>1424.57683</v>
      </c>
      <c r="AE18" s="11">
        <f t="shared" si="8"/>
        <v>0</v>
      </c>
      <c r="AF18" s="11">
        <f t="shared" si="8"/>
        <v>0</v>
      </c>
      <c r="AG18" s="10" t="e">
        <f t="shared" si="9"/>
        <v>#REF!</v>
      </c>
      <c r="AH18" s="11" t="e">
        <f>#REF!-S18</f>
        <v>#REF!</v>
      </c>
      <c r="AI18" s="11" t="e">
        <f>#REF!-T18</f>
        <v>#REF!</v>
      </c>
      <c r="AJ18" s="11" t="e">
        <f>#REF!-U18</f>
        <v>#REF!</v>
      </c>
      <c r="AK18" s="11" t="e">
        <f>#REF!-V18</f>
        <v>#REF!</v>
      </c>
    </row>
    <row r="19" spans="1:37" s="28" customFormat="1" ht="20.25" customHeight="1">
      <c r="A19" s="85">
        <v>12</v>
      </c>
      <c r="B19" s="27" t="s">
        <v>60</v>
      </c>
      <c r="C19" s="134"/>
      <c r="D19" s="134"/>
      <c r="E19" s="134"/>
      <c r="F19" s="134"/>
      <c r="G19" s="134"/>
      <c r="H19" s="37">
        <f t="shared" si="4"/>
        <v>1243.058</v>
      </c>
      <c r="I19" s="11"/>
      <c r="J19" s="11">
        <v>1243.058</v>
      </c>
      <c r="K19" s="11"/>
      <c r="L19" s="49"/>
      <c r="M19" s="46"/>
      <c r="N19" s="46"/>
      <c r="O19" s="46"/>
      <c r="P19" s="46"/>
      <c r="Q19" s="46"/>
      <c r="R19" s="11">
        <f t="shared" si="5"/>
        <v>1092.53</v>
      </c>
      <c r="S19" s="11"/>
      <c r="T19" s="11">
        <v>1092.53</v>
      </c>
      <c r="U19" s="11"/>
      <c r="V19" s="11"/>
      <c r="W19" s="11">
        <f t="shared" si="6"/>
        <v>57.5019</v>
      </c>
      <c r="X19" s="11"/>
      <c r="Y19" s="11">
        <v>57.5019</v>
      </c>
      <c r="Z19" s="11"/>
      <c r="AA19" s="11"/>
      <c r="AB19" s="11">
        <f t="shared" si="7"/>
        <v>1150.0319</v>
      </c>
      <c r="AC19" s="11">
        <f t="shared" si="8"/>
        <v>0</v>
      </c>
      <c r="AD19" s="11">
        <f t="shared" si="8"/>
        <v>1150.0319</v>
      </c>
      <c r="AE19" s="11">
        <f t="shared" si="8"/>
        <v>0</v>
      </c>
      <c r="AF19" s="11">
        <f t="shared" si="8"/>
        <v>0</v>
      </c>
      <c r="AG19" s="10" t="e">
        <f t="shared" si="9"/>
        <v>#REF!</v>
      </c>
      <c r="AH19" s="11" t="e">
        <f>#REF!-S19</f>
        <v>#REF!</v>
      </c>
      <c r="AI19" s="11" t="e">
        <f>#REF!-T19</f>
        <v>#REF!</v>
      </c>
      <c r="AJ19" s="11" t="e">
        <f>#REF!-U19</f>
        <v>#REF!</v>
      </c>
      <c r="AK19" s="11" t="e">
        <f>#REF!-V19</f>
        <v>#REF!</v>
      </c>
    </row>
    <row r="20" spans="1:37" s="28" customFormat="1" ht="20.25" customHeight="1">
      <c r="A20" s="85">
        <v>13</v>
      </c>
      <c r="B20" s="27" t="s">
        <v>61</v>
      </c>
      <c r="C20" s="134"/>
      <c r="D20" s="134"/>
      <c r="E20" s="134"/>
      <c r="F20" s="134"/>
      <c r="G20" s="134"/>
      <c r="H20" s="37">
        <f t="shared" si="4"/>
        <v>768.704</v>
      </c>
      <c r="I20" s="11"/>
      <c r="J20" s="11">
        <v>768.704</v>
      </c>
      <c r="K20" s="11"/>
      <c r="L20" s="49"/>
      <c r="M20" s="46"/>
      <c r="N20" s="46"/>
      <c r="O20" s="46"/>
      <c r="P20" s="46"/>
      <c r="Q20" s="46"/>
      <c r="R20" s="11">
        <f t="shared" si="5"/>
        <v>768.704</v>
      </c>
      <c r="S20" s="11"/>
      <c r="T20" s="11">
        <f>96.088+672.616</f>
        <v>768.704</v>
      </c>
      <c r="U20" s="11"/>
      <c r="V20" s="11"/>
      <c r="W20" s="11">
        <f t="shared" si="6"/>
        <v>42.15127</v>
      </c>
      <c r="X20" s="11"/>
      <c r="Y20" s="11">
        <v>42.15127</v>
      </c>
      <c r="Z20" s="11"/>
      <c r="AA20" s="11"/>
      <c r="AB20" s="11">
        <f t="shared" si="7"/>
        <v>810.8552699999999</v>
      </c>
      <c r="AC20" s="11">
        <f t="shared" si="8"/>
        <v>0</v>
      </c>
      <c r="AD20" s="11">
        <f t="shared" si="8"/>
        <v>810.8552699999999</v>
      </c>
      <c r="AE20" s="11">
        <f t="shared" si="8"/>
        <v>0</v>
      </c>
      <c r="AF20" s="11">
        <f t="shared" si="8"/>
        <v>0</v>
      </c>
      <c r="AG20" s="10" t="e">
        <f t="shared" si="9"/>
        <v>#REF!</v>
      </c>
      <c r="AH20" s="11" t="e">
        <f>#REF!-S20</f>
        <v>#REF!</v>
      </c>
      <c r="AI20" s="11" t="e">
        <f>#REF!-T20</f>
        <v>#REF!</v>
      </c>
      <c r="AJ20" s="11" t="e">
        <f>#REF!-U20</f>
        <v>#REF!</v>
      </c>
      <c r="AK20" s="11" t="e">
        <f>#REF!-V20</f>
        <v>#REF!</v>
      </c>
    </row>
    <row r="21" spans="1:37" s="28" customFormat="1" ht="20.25" customHeight="1">
      <c r="A21" s="85">
        <v>14</v>
      </c>
      <c r="B21" s="27" t="s">
        <v>62</v>
      </c>
      <c r="C21" s="134"/>
      <c r="D21" s="134"/>
      <c r="E21" s="134"/>
      <c r="F21" s="134"/>
      <c r="G21" s="134"/>
      <c r="H21" s="37">
        <f t="shared" si="4"/>
        <v>5061.535</v>
      </c>
      <c r="I21" s="11"/>
      <c r="J21" s="11">
        <f>1171.82+3889.715</f>
        <v>5061.535</v>
      </c>
      <c r="K21" s="11"/>
      <c r="L21" s="49"/>
      <c r="M21" s="46"/>
      <c r="N21" s="46"/>
      <c r="O21" s="46"/>
      <c r="P21" s="46"/>
      <c r="Q21" s="46"/>
      <c r="R21" s="11">
        <f t="shared" si="5"/>
        <v>5021.535</v>
      </c>
      <c r="S21" s="11"/>
      <c r="T21" s="11">
        <f>1957.315+1897.292+1171.82-4.892</f>
        <v>5021.535</v>
      </c>
      <c r="U21" s="11"/>
      <c r="V21" s="11"/>
      <c r="W21" s="11">
        <f t="shared" si="6"/>
        <v>271.12034</v>
      </c>
      <c r="X21" s="11"/>
      <c r="Y21" s="11">
        <v>271.12034</v>
      </c>
      <c r="Z21" s="11"/>
      <c r="AA21" s="11"/>
      <c r="AB21" s="11">
        <f t="shared" si="7"/>
        <v>5292.65534</v>
      </c>
      <c r="AC21" s="11">
        <f t="shared" si="8"/>
        <v>0</v>
      </c>
      <c r="AD21" s="11">
        <f t="shared" si="8"/>
        <v>5292.65534</v>
      </c>
      <c r="AE21" s="11">
        <f t="shared" si="8"/>
        <v>0</v>
      </c>
      <c r="AF21" s="11">
        <f t="shared" si="8"/>
        <v>0</v>
      </c>
      <c r="AG21" s="10" t="e">
        <f t="shared" si="9"/>
        <v>#REF!</v>
      </c>
      <c r="AH21" s="11" t="e">
        <f>#REF!-S21</f>
        <v>#REF!</v>
      </c>
      <c r="AI21" s="11" t="e">
        <f>#REF!-T21</f>
        <v>#REF!</v>
      </c>
      <c r="AJ21" s="11" t="e">
        <f>#REF!-U21</f>
        <v>#REF!</v>
      </c>
      <c r="AK21" s="11" t="e">
        <f>#REF!-V21</f>
        <v>#REF!</v>
      </c>
    </row>
    <row r="22" spans="1:37" s="28" customFormat="1" ht="20.25" customHeight="1">
      <c r="A22" s="85">
        <v>15</v>
      </c>
      <c r="B22" s="27" t="s">
        <v>63</v>
      </c>
      <c r="C22" s="134"/>
      <c r="D22" s="134"/>
      <c r="E22" s="134"/>
      <c r="F22" s="134"/>
      <c r="G22" s="134"/>
      <c r="H22" s="37">
        <f t="shared" si="4"/>
        <v>531.092</v>
      </c>
      <c r="I22" s="11"/>
      <c r="J22" s="11">
        <v>284.371</v>
      </c>
      <c r="K22" s="11"/>
      <c r="L22" s="49">
        <v>246.721</v>
      </c>
      <c r="M22" s="46"/>
      <c r="N22" s="46"/>
      <c r="O22" s="46"/>
      <c r="P22" s="46"/>
      <c r="Q22" s="46"/>
      <c r="R22" s="11">
        <f t="shared" si="5"/>
        <v>531.092</v>
      </c>
      <c r="S22" s="11"/>
      <c r="T22" s="11">
        <v>284.371</v>
      </c>
      <c r="U22" s="11"/>
      <c r="V22" s="11">
        <v>246.721</v>
      </c>
      <c r="W22" s="11">
        <f t="shared" si="6"/>
        <v>281.785</v>
      </c>
      <c r="X22" s="11"/>
      <c r="Y22" s="11">
        <v>236.578</v>
      </c>
      <c r="Z22" s="11"/>
      <c r="AA22" s="11">
        <v>45.207</v>
      </c>
      <c r="AB22" s="11">
        <f t="shared" si="7"/>
        <v>812.877</v>
      </c>
      <c r="AC22" s="11">
        <f t="shared" si="8"/>
        <v>0</v>
      </c>
      <c r="AD22" s="11">
        <f t="shared" si="8"/>
        <v>520.949</v>
      </c>
      <c r="AE22" s="11">
        <f t="shared" si="8"/>
        <v>0</v>
      </c>
      <c r="AF22" s="11">
        <f t="shared" si="8"/>
        <v>291.928</v>
      </c>
      <c r="AG22" s="10" t="e">
        <f t="shared" si="9"/>
        <v>#REF!</v>
      </c>
      <c r="AH22" s="11" t="e">
        <f>#REF!-S22</f>
        <v>#REF!</v>
      </c>
      <c r="AI22" s="11" t="e">
        <f>#REF!-T22</f>
        <v>#REF!</v>
      </c>
      <c r="AJ22" s="11" t="e">
        <f>#REF!-U22</f>
        <v>#REF!</v>
      </c>
      <c r="AK22" s="11" t="e">
        <f>#REF!-V22</f>
        <v>#REF!</v>
      </c>
    </row>
    <row r="23" spans="1:37" s="28" customFormat="1" ht="20.25" customHeight="1">
      <c r="A23" s="85">
        <v>16</v>
      </c>
      <c r="B23" s="27" t="s">
        <v>64</v>
      </c>
      <c r="C23" s="134"/>
      <c r="D23" s="134"/>
      <c r="E23" s="134"/>
      <c r="F23" s="134"/>
      <c r="G23" s="134"/>
      <c r="H23" s="37">
        <f t="shared" si="4"/>
        <v>1239.961</v>
      </c>
      <c r="I23" s="11"/>
      <c r="J23" s="11">
        <v>1239.961</v>
      </c>
      <c r="K23" s="11"/>
      <c r="L23" s="49"/>
      <c r="M23" s="46"/>
      <c r="N23" s="46"/>
      <c r="O23" s="46"/>
      <c r="P23" s="46"/>
      <c r="Q23" s="46"/>
      <c r="R23" s="11">
        <f t="shared" si="5"/>
        <v>1190.60462</v>
      </c>
      <c r="S23" s="11"/>
      <c r="T23" s="11">
        <f>617.45576+573.14886</f>
        <v>1190.60462</v>
      </c>
      <c r="U23" s="11"/>
      <c r="V23" s="11"/>
      <c r="W23" s="11">
        <f t="shared" si="6"/>
        <v>936.49494</v>
      </c>
      <c r="X23" s="11"/>
      <c r="Y23" s="11">
        <v>936.49494</v>
      </c>
      <c r="Z23" s="11"/>
      <c r="AA23" s="11"/>
      <c r="AB23" s="11">
        <f t="shared" si="7"/>
        <v>2127.09956</v>
      </c>
      <c r="AC23" s="11">
        <f t="shared" si="8"/>
        <v>0</v>
      </c>
      <c r="AD23" s="11">
        <f t="shared" si="8"/>
        <v>2127.09956</v>
      </c>
      <c r="AE23" s="11">
        <f t="shared" si="8"/>
        <v>0</v>
      </c>
      <c r="AF23" s="11">
        <f t="shared" si="8"/>
        <v>0</v>
      </c>
      <c r="AG23" s="10" t="e">
        <f t="shared" si="9"/>
        <v>#REF!</v>
      </c>
      <c r="AH23" s="11" t="e">
        <f>#REF!-S23</f>
        <v>#REF!</v>
      </c>
      <c r="AI23" s="11" t="e">
        <f>#REF!-T23</f>
        <v>#REF!</v>
      </c>
      <c r="AJ23" s="11" t="e">
        <f>#REF!-U23</f>
        <v>#REF!</v>
      </c>
      <c r="AK23" s="11" t="e">
        <f>#REF!-V23</f>
        <v>#REF!</v>
      </c>
    </row>
    <row r="24" spans="1:37" s="28" customFormat="1" ht="20.25" customHeight="1">
      <c r="A24" s="85">
        <v>17</v>
      </c>
      <c r="B24" s="27" t="s">
        <v>65</v>
      </c>
      <c r="C24" s="134"/>
      <c r="D24" s="134"/>
      <c r="E24" s="134"/>
      <c r="F24" s="134"/>
      <c r="G24" s="134"/>
      <c r="H24" s="37">
        <f t="shared" si="4"/>
        <v>354.746</v>
      </c>
      <c r="I24" s="11"/>
      <c r="J24" s="11">
        <v>354.746</v>
      </c>
      <c r="K24" s="11"/>
      <c r="L24" s="49"/>
      <c r="M24" s="46"/>
      <c r="N24" s="46"/>
      <c r="O24" s="46"/>
      <c r="P24" s="46"/>
      <c r="Q24" s="46"/>
      <c r="R24" s="11">
        <f t="shared" si="5"/>
        <v>354.746</v>
      </c>
      <c r="S24" s="11"/>
      <c r="T24" s="11">
        <v>354.746</v>
      </c>
      <c r="U24" s="11"/>
      <c r="V24" s="11"/>
      <c r="W24" s="11">
        <f t="shared" si="6"/>
        <v>19.092</v>
      </c>
      <c r="X24" s="11"/>
      <c r="Y24" s="11">
        <v>19.092</v>
      </c>
      <c r="Z24" s="11"/>
      <c r="AA24" s="11"/>
      <c r="AB24" s="11">
        <f t="shared" si="7"/>
        <v>373.83799999999997</v>
      </c>
      <c r="AC24" s="11">
        <f t="shared" si="8"/>
        <v>0</v>
      </c>
      <c r="AD24" s="11">
        <f t="shared" si="8"/>
        <v>373.83799999999997</v>
      </c>
      <c r="AE24" s="11">
        <f t="shared" si="8"/>
        <v>0</v>
      </c>
      <c r="AF24" s="11">
        <f t="shared" si="8"/>
        <v>0</v>
      </c>
      <c r="AG24" s="10" t="e">
        <f t="shared" si="9"/>
        <v>#REF!</v>
      </c>
      <c r="AH24" s="11" t="e">
        <f>#REF!-S24</f>
        <v>#REF!</v>
      </c>
      <c r="AI24" s="11" t="e">
        <f>#REF!-T24</f>
        <v>#REF!</v>
      </c>
      <c r="AJ24" s="11" t="e">
        <f>#REF!-U24</f>
        <v>#REF!</v>
      </c>
      <c r="AK24" s="11" t="e">
        <f>#REF!-V24</f>
        <v>#REF!</v>
      </c>
    </row>
    <row r="25" spans="1:37" s="28" customFormat="1" ht="20.25" customHeight="1">
      <c r="A25" s="85">
        <v>18</v>
      </c>
      <c r="B25" s="27" t="s">
        <v>66</v>
      </c>
      <c r="C25" s="134"/>
      <c r="D25" s="134"/>
      <c r="E25" s="134"/>
      <c r="F25" s="134"/>
      <c r="G25" s="134"/>
      <c r="H25" s="37">
        <f t="shared" si="4"/>
        <v>1185.241</v>
      </c>
      <c r="I25" s="11"/>
      <c r="J25" s="11">
        <v>1185.241</v>
      </c>
      <c r="K25" s="11"/>
      <c r="L25" s="49"/>
      <c r="M25" s="46"/>
      <c r="N25" s="46"/>
      <c r="O25" s="46"/>
      <c r="P25" s="46"/>
      <c r="Q25" s="46"/>
      <c r="R25" s="11">
        <f t="shared" si="5"/>
        <v>1096.84938</v>
      </c>
      <c r="S25" s="11"/>
      <c r="T25" s="11">
        <f>1096.84938</f>
        <v>1096.84938</v>
      </c>
      <c r="U25" s="11"/>
      <c r="V25" s="11"/>
      <c r="W25" s="11">
        <f t="shared" si="6"/>
        <v>57.9</v>
      </c>
      <c r="X25" s="11"/>
      <c r="Y25" s="11">
        <v>57.9</v>
      </c>
      <c r="Z25" s="11"/>
      <c r="AA25" s="11"/>
      <c r="AB25" s="11">
        <f t="shared" si="7"/>
        <v>1154.7493800000002</v>
      </c>
      <c r="AC25" s="11">
        <f t="shared" si="8"/>
        <v>0</v>
      </c>
      <c r="AD25" s="11">
        <f t="shared" si="8"/>
        <v>1154.7493800000002</v>
      </c>
      <c r="AE25" s="11">
        <f t="shared" si="8"/>
        <v>0</v>
      </c>
      <c r="AF25" s="11">
        <f t="shared" si="8"/>
        <v>0</v>
      </c>
      <c r="AG25" s="10" t="e">
        <f t="shared" si="9"/>
        <v>#REF!</v>
      </c>
      <c r="AH25" s="11" t="e">
        <f>#REF!-S25</f>
        <v>#REF!</v>
      </c>
      <c r="AI25" s="11" t="e">
        <f>#REF!-T25</f>
        <v>#REF!</v>
      </c>
      <c r="AJ25" s="11" t="e">
        <f>#REF!-U25</f>
        <v>#REF!</v>
      </c>
      <c r="AK25" s="11" t="e">
        <f>#REF!-V25</f>
        <v>#REF!</v>
      </c>
    </row>
    <row r="26" spans="1:37" s="28" customFormat="1" ht="20.25" customHeight="1">
      <c r="A26" s="85">
        <v>19</v>
      </c>
      <c r="B26" s="27" t="s">
        <v>67</v>
      </c>
      <c r="C26" s="134"/>
      <c r="D26" s="134"/>
      <c r="E26" s="134"/>
      <c r="F26" s="134"/>
      <c r="G26" s="134"/>
      <c r="H26" s="37">
        <f t="shared" si="4"/>
        <v>658.233</v>
      </c>
      <c r="I26" s="11"/>
      <c r="J26" s="11">
        <v>658.233</v>
      </c>
      <c r="K26" s="11"/>
      <c r="L26" s="49"/>
      <c r="M26" s="46"/>
      <c r="N26" s="46"/>
      <c r="O26" s="46"/>
      <c r="P26" s="46"/>
      <c r="Q26" s="46"/>
      <c r="R26" s="11">
        <f t="shared" si="5"/>
        <v>658.233</v>
      </c>
      <c r="S26" s="11"/>
      <c r="T26" s="11">
        <v>658.233</v>
      </c>
      <c r="U26" s="11"/>
      <c r="V26" s="11"/>
      <c r="W26" s="11">
        <f t="shared" si="6"/>
        <v>393.60055</v>
      </c>
      <c r="X26" s="11"/>
      <c r="Y26" s="11">
        <v>393.60055</v>
      </c>
      <c r="Z26" s="11"/>
      <c r="AA26" s="11"/>
      <c r="AB26" s="11">
        <f t="shared" si="7"/>
        <v>1051.8335499999998</v>
      </c>
      <c r="AC26" s="11">
        <f t="shared" si="8"/>
        <v>0</v>
      </c>
      <c r="AD26" s="11">
        <f t="shared" si="8"/>
        <v>1051.8335499999998</v>
      </c>
      <c r="AE26" s="11">
        <f t="shared" si="8"/>
        <v>0</v>
      </c>
      <c r="AF26" s="11">
        <f t="shared" si="8"/>
        <v>0</v>
      </c>
      <c r="AG26" s="10" t="e">
        <f t="shared" si="9"/>
        <v>#REF!</v>
      </c>
      <c r="AH26" s="11" t="e">
        <f>#REF!-S26</f>
        <v>#REF!</v>
      </c>
      <c r="AI26" s="11" t="e">
        <f>#REF!-T26</f>
        <v>#REF!</v>
      </c>
      <c r="AJ26" s="11" t="e">
        <f>#REF!-U26</f>
        <v>#REF!</v>
      </c>
      <c r="AK26" s="11" t="e">
        <f>#REF!-V26</f>
        <v>#REF!</v>
      </c>
    </row>
    <row r="27" spans="1:37" s="28" customFormat="1" ht="20.25" customHeight="1">
      <c r="A27" s="85">
        <v>20</v>
      </c>
      <c r="B27" s="27" t="s">
        <v>68</v>
      </c>
      <c r="C27" s="134"/>
      <c r="D27" s="134"/>
      <c r="E27" s="134"/>
      <c r="F27" s="134"/>
      <c r="G27" s="134"/>
      <c r="H27" s="37">
        <f t="shared" si="4"/>
        <v>451.176</v>
      </c>
      <c r="I27" s="11"/>
      <c r="J27" s="11">
        <v>451.176</v>
      </c>
      <c r="K27" s="11"/>
      <c r="L27" s="49"/>
      <c r="M27" s="46"/>
      <c r="N27" s="46"/>
      <c r="O27" s="46"/>
      <c r="P27" s="46"/>
      <c r="Q27" s="46"/>
      <c r="R27" s="11">
        <f t="shared" si="5"/>
        <v>403.80242999999996</v>
      </c>
      <c r="S27" s="11"/>
      <c r="T27" s="11">
        <f>216.21406+187.58837</f>
        <v>403.80242999999996</v>
      </c>
      <c r="U27" s="11"/>
      <c r="V27" s="11"/>
      <c r="W27" s="11">
        <f t="shared" si="6"/>
        <v>62.43071</v>
      </c>
      <c r="X27" s="11"/>
      <c r="Y27" s="11">
        <v>62.43071</v>
      </c>
      <c r="Z27" s="11"/>
      <c r="AA27" s="11"/>
      <c r="AB27" s="11">
        <f t="shared" si="7"/>
        <v>466.23313999999993</v>
      </c>
      <c r="AC27" s="11">
        <f t="shared" si="8"/>
        <v>0</v>
      </c>
      <c r="AD27" s="11">
        <f t="shared" si="8"/>
        <v>466.23313999999993</v>
      </c>
      <c r="AE27" s="11">
        <f t="shared" si="8"/>
        <v>0</v>
      </c>
      <c r="AF27" s="11">
        <f t="shared" si="8"/>
        <v>0</v>
      </c>
      <c r="AG27" s="10" t="e">
        <f t="shared" si="9"/>
        <v>#REF!</v>
      </c>
      <c r="AH27" s="11" t="e">
        <f>#REF!-S27</f>
        <v>#REF!</v>
      </c>
      <c r="AI27" s="11" t="e">
        <f>#REF!-T27</f>
        <v>#REF!</v>
      </c>
      <c r="AJ27" s="11" t="e">
        <f>#REF!-U27</f>
        <v>#REF!</v>
      </c>
      <c r="AK27" s="11" t="e">
        <f>#REF!-V27</f>
        <v>#REF!</v>
      </c>
    </row>
    <row r="28" spans="1:37" s="28" customFormat="1" ht="20.25" customHeight="1">
      <c r="A28" s="4"/>
      <c r="B28" s="1" t="s">
        <v>18</v>
      </c>
      <c r="C28" s="132"/>
      <c r="D28" s="132"/>
      <c r="E28" s="132"/>
      <c r="F28" s="132"/>
      <c r="G28" s="132"/>
      <c r="H28" s="39">
        <f>SUM(H29:H42)</f>
        <v>20850.804999999993</v>
      </c>
      <c r="I28" s="7">
        <f>SUM(I29:I42)</f>
        <v>3324.65</v>
      </c>
      <c r="J28" s="7">
        <f>SUM(J29:J42)</f>
        <v>15991.762999999997</v>
      </c>
      <c r="K28" s="7">
        <f>SUM(K29:K42)</f>
        <v>0</v>
      </c>
      <c r="L28" s="40">
        <f>SUM(L29:L42)</f>
        <v>1534.3919999999998</v>
      </c>
      <c r="M28" s="41"/>
      <c r="N28" s="41"/>
      <c r="O28" s="41"/>
      <c r="P28" s="41"/>
      <c r="Q28" s="41"/>
      <c r="R28" s="7">
        <f>SUM(R29:R42)</f>
        <v>11358.82488</v>
      </c>
      <c r="S28" s="7">
        <f>SUM(S29:S42)</f>
        <v>2037.08</v>
      </c>
      <c r="T28" s="7">
        <f>SUM(T29:T42)</f>
        <v>7787.3528799999995</v>
      </c>
      <c r="U28" s="7">
        <f>SUM(U29:U42)</f>
        <v>0</v>
      </c>
      <c r="V28" s="7">
        <f>SUM(V29:V42)</f>
        <v>1534.3919999999998</v>
      </c>
      <c r="W28" s="7">
        <f aca="true" t="shared" si="10" ref="W28:AK28">SUM(W29:W42)</f>
        <v>3497.6615000000006</v>
      </c>
      <c r="X28" s="7">
        <f t="shared" si="10"/>
        <v>147.47</v>
      </c>
      <c r="Y28" s="7">
        <f t="shared" si="10"/>
        <v>3228.0182000000004</v>
      </c>
      <c r="Z28" s="7">
        <f t="shared" si="10"/>
        <v>0</v>
      </c>
      <c r="AA28" s="7">
        <f t="shared" si="10"/>
        <v>122.1733</v>
      </c>
      <c r="AB28" s="7">
        <f t="shared" si="10"/>
        <v>14856.486379999998</v>
      </c>
      <c r="AC28" s="7">
        <f t="shared" si="10"/>
        <v>2184.5499999999997</v>
      </c>
      <c r="AD28" s="7">
        <f t="shared" si="10"/>
        <v>11015.37108</v>
      </c>
      <c r="AE28" s="7">
        <f t="shared" si="10"/>
        <v>0</v>
      </c>
      <c r="AF28" s="7">
        <f t="shared" si="10"/>
        <v>1656.5653</v>
      </c>
      <c r="AG28" s="20" t="e">
        <f t="shared" si="10"/>
        <v>#REF!</v>
      </c>
      <c r="AH28" s="7" t="e">
        <f t="shared" si="10"/>
        <v>#REF!</v>
      </c>
      <c r="AI28" s="7" t="e">
        <f t="shared" si="10"/>
        <v>#REF!</v>
      </c>
      <c r="AJ28" s="7" t="e">
        <f t="shared" si="10"/>
        <v>#REF!</v>
      </c>
      <c r="AK28" s="7" t="e">
        <f t="shared" si="10"/>
        <v>#REF!</v>
      </c>
    </row>
    <row r="29" spans="1:37" s="24" customFormat="1" ht="23.25" customHeight="1" hidden="1">
      <c r="A29" s="26"/>
      <c r="B29" s="8" t="s">
        <v>18</v>
      </c>
      <c r="C29" s="136"/>
      <c r="D29" s="136"/>
      <c r="E29" s="136"/>
      <c r="F29" s="136"/>
      <c r="G29" s="136"/>
      <c r="H29" s="43">
        <f aca="true" t="shared" si="11" ref="H29:H42">I29+J29+K29+L29</f>
        <v>0</v>
      </c>
      <c r="I29" s="47"/>
      <c r="J29" s="47"/>
      <c r="K29" s="47"/>
      <c r="L29" s="48"/>
      <c r="M29" s="126"/>
      <c r="N29" s="126"/>
      <c r="O29" s="126"/>
      <c r="P29" s="126"/>
      <c r="Q29" s="126"/>
      <c r="R29" s="42">
        <f aca="true" t="shared" si="12" ref="R29:R42">S29+T29+U29+V29</f>
        <v>0</v>
      </c>
      <c r="S29" s="42"/>
      <c r="T29" s="42"/>
      <c r="U29" s="42"/>
      <c r="V29" s="42"/>
      <c r="W29" s="42">
        <f aca="true" t="shared" si="13" ref="W29:W42">X29+Y29+Z29+AA29</f>
        <v>0</v>
      </c>
      <c r="X29" s="42"/>
      <c r="Y29" s="42"/>
      <c r="Z29" s="42"/>
      <c r="AA29" s="42"/>
      <c r="AB29" s="42">
        <f aca="true" t="shared" si="14" ref="AB29:AB42">AC29+AD29+AE29+AF29</f>
        <v>0</v>
      </c>
      <c r="AC29" s="42">
        <f aca="true" t="shared" si="15" ref="AC29:AF42">S29+X29</f>
        <v>0</v>
      </c>
      <c r="AD29" s="42">
        <f t="shared" si="15"/>
        <v>0</v>
      </c>
      <c r="AE29" s="42">
        <f t="shared" si="15"/>
        <v>0</v>
      </c>
      <c r="AF29" s="42">
        <f t="shared" si="15"/>
        <v>0</v>
      </c>
      <c r="AG29" s="22" t="e">
        <f aca="true" t="shared" si="16" ref="AG29:AG42">AH29+AI29+AJ29+AK29</f>
        <v>#REF!</v>
      </c>
      <c r="AH29" s="42" t="e">
        <f>#REF!-S29</f>
        <v>#REF!</v>
      </c>
      <c r="AI29" s="42" t="e">
        <f>#REF!-T29</f>
        <v>#REF!</v>
      </c>
      <c r="AJ29" s="42" t="e">
        <f>#REF!-U29</f>
        <v>#REF!</v>
      </c>
      <c r="AK29" s="42" t="e">
        <f>#REF!-V29</f>
        <v>#REF!</v>
      </c>
    </row>
    <row r="30" spans="1:37" s="28" customFormat="1" ht="20.25" customHeight="1" hidden="1">
      <c r="A30" s="85"/>
      <c r="B30" s="27" t="s">
        <v>69</v>
      </c>
      <c r="C30" s="134"/>
      <c r="D30" s="134"/>
      <c r="E30" s="134"/>
      <c r="F30" s="134"/>
      <c r="G30" s="134"/>
      <c r="H30" s="37">
        <f t="shared" si="11"/>
        <v>0</v>
      </c>
      <c r="I30" s="11"/>
      <c r="J30" s="11"/>
      <c r="K30" s="11"/>
      <c r="L30" s="49"/>
      <c r="M30" s="46"/>
      <c r="N30" s="46"/>
      <c r="O30" s="46"/>
      <c r="P30" s="46"/>
      <c r="Q30" s="46"/>
      <c r="R30" s="11">
        <f t="shared" si="12"/>
        <v>0</v>
      </c>
      <c r="S30" s="11"/>
      <c r="T30" s="11"/>
      <c r="U30" s="11"/>
      <c r="V30" s="11"/>
      <c r="W30" s="11">
        <f t="shared" si="13"/>
        <v>0</v>
      </c>
      <c r="X30" s="11"/>
      <c r="Y30" s="11"/>
      <c r="Z30" s="11"/>
      <c r="AA30" s="11"/>
      <c r="AB30" s="11">
        <f t="shared" si="14"/>
        <v>0</v>
      </c>
      <c r="AC30" s="11">
        <f t="shared" si="15"/>
        <v>0</v>
      </c>
      <c r="AD30" s="11">
        <f t="shared" si="15"/>
        <v>0</v>
      </c>
      <c r="AE30" s="11">
        <f t="shared" si="15"/>
        <v>0</v>
      </c>
      <c r="AF30" s="11">
        <f t="shared" si="15"/>
        <v>0</v>
      </c>
      <c r="AG30" s="10" t="e">
        <f t="shared" si="16"/>
        <v>#REF!</v>
      </c>
      <c r="AH30" s="11" t="e">
        <f>#REF!-S30</f>
        <v>#REF!</v>
      </c>
      <c r="AI30" s="11" t="e">
        <f>#REF!-T30</f>
        <v>#REF!</v>
      </c>
      <c r="AJ30" s="11" t="e">
        <f>#REF!-U30</f>
        <v>#REF!</v>
      </c>
      <c r="AK30" s="11" t="e">
        <f>#REF!-V30</f>
        <v>#REF!</v>
      </c>
    </row>
    <row r="31" spans="1:37" s="28" customFormat="1" ht="24.75" customHeight="1">
      <c r="A31" s="85">
        <v>21</v>
      </c>
      <c r="B31" s="27" t="s">
        <v>70</v>
      </c>
      <c r="C31" s="134"/>
      <c r="D31" s="134"/>
      <c r="E31" s="134"/>
      <c r="F31" s="134"/>
      <c r="G31" s="134"/>
      <c r="H31" s="37">
        <f t="shared" si="11"/>
        <v>7631.076999999999</v>
      </c>
      <c r="I31" s="11"/>
      <c r="J31" s="11">
        <f>4086.026+3545.051</f>
        <v>7631.076999999999</v>
      </c>
      <c r="K31" s="11"/>
      <c r="L31" s="49"/>
      <c r="M31" s="46"/>
      <c r="N31" s="46"/>
      <c r="O31" s="46"/>
      <c r="P31" s="46"/>
      <c r="Q31" s="46"/>
      <c r="R31" s="11">
        <f t="shared" si="12"/>
        <v>677.504</v>
      </c>
      <c r="S31" s="11"/>
      <c r="T31" s="11">
        <v>677.504</v>
      </c>
      <c r="U31" s="11"/>
      <c r="V31" s="11"/>
      <c r="W31" s="11">
        <f t="shared" si="13"/>
        <v>416.40864</v>
      </c>
      <c r="X31" s="11"/>
      <c r="Y31" s="11">
        <v>416.40864</v>
      </c>
      <c r="Z31" s="11"/>
      <c r="AA31" s="11"/>
      <c r="AB31" s="11">
        <f t="shared" si="14"/>
        <v>1093.91264</v>
      </c>
      <c r="AC31" s="11">
        <f t="shared" si="15"/>
        <v>0</v>
      </c>
      <c r="AD31" s="11">
        <f t="shared" si="15"/>
        <v>1093.91264</v>
      </c>
      <c r="AE31" s="11">
        <f t="shared" si="15"/>
        <v>0</v>
      </c>
      <c r="AF31" s="11">
        <f t="shared" si="15"/>
        <v>0</v>
      </c>
      <c r="AG31" s="10" t="e">
        <f t="shared" si="16"/>
        <v>#REF!</v>
      </c>
      <c r="AH31" s="11" t="e">
        <f>#REF!-S31</f>
        <v>#REF!</v>
      </c>
      <c r="AI31" s="11" t="e">
        <f>#REF!-T31</f>
        <v>#REF!</v>
      </c>
      <c r="AJ31" s="11" t="e">
        <f>#REF!-U31</f>
        <v>#REF!</v>
      </c>
      <c r="AK31" s="11" t="e">
        <f>#REF!-V31</f>
        <v>#REF!</v>
      </c>
    </row>
    <row r="32" spans="1:37" s="28" customFormat="1" ht="31.5" customHeight="1">
      <c r="A32" s="85">
        <v>22</v>
      </c>
      <c r="B32" s="27" t="s">
        <v>71</v>
      </c>
      <c r="C32" s="134"/>
      <c r="D32" s="134"/>
      <c r="E32" s="134"/>
      <c r="F32" s="134"/>
      <c r="G32" s="134"/>
      <c r="H32" s="37">
        <f t="shared" si="11"/>
        <v>682.443</v>
      </c>
      <c r="I32" s="11"/>
      <c r="J32" s="11">
        <f>365.411+317.032</f>
        <v>682.443</v>
      </c>
      <c r="K32" s="11"/>
      <c r="L32" s="49"/>
      <c r="M32" s="46"/>
      <c r="N32" s="46"/>
      <c r="O32" s="46"/>
      <c r="P32" s="46"/>
      <c r="Q32" s="46"/>
      <c r="R32" s="11">
        <f t="shared" si="12"/>
        <v>568.4967</v>
      </c>
      <c r="S32" s="11"/>
      <c r="T32" s="11">
        <f>248.8881+319.6086</f>
        <v>568.4967</v>
      </c>
      <c r="U32" s="11"/>
      <c r="V32" s="11"/>
      <c r="W32" s="11">
        <f t="shared" si="13"/>
        <v>124.076</v>
      </c>
      <c r="X32" s="11"/>
      <c r="Y32" s="11">
        <v>124.076</v>
      </c>
      <c r="Z32" s="11"/>
      <c r="AA32" s="11"/>
      <c r="AB32" s="11">
        <f t="shared" si="14"/>
        <v>692.5727</v>
      </c>
      <c r="AC32" s="11">
        <f t="shared" si="15"/>
        <v>0</v>
      </c>
      <c r="AD32" s="11">
        <f t="shared" si="15"/>
        <v>692.5727</v>
      </c>
      <c r="AE32" s="11">
        <f t="shared" si="15"/>
        <v>0</v>
      </c>
      <c r="AF32" s="11">
        <f t="shared" si="15"/>
        <v>0</v>
      </c>
      <c r="AG32" s="10" t="e">
        <f t="shared" si="16"/>
        <v>#REF!</v>
      </c>
      <c r="AH32" s="11" t="e">
        <f>#REF!-S32</f>
        <v>#REF!</v>
      </c>
      <c r="AI32" s="11" t="e">
        <f>#REF!-T32</f>
        <v>#REF!</v>
      </c>
      <c r="AJ32" s="11" t="e">
        <f>#REF!-U32</f>
        <v>#REF!</v>
      </c>
      <c r="AK32" s="11" t="e">
        <f>#REF!-V32</f>
        <v>#REF!</v>
      </c>
    </row>
    <row r="33" spans="1:37" s="28" customFormat="1" ht="20.25" customHeight="1">
      <c r="A33" s="85">
        <v>23</v>
      </c>
      <c r="B33" s="27" t="s">
        <v>72</v>
      </c>
      <c r="C33" s="134"/>
      <c r="D33" s="134"/>
      <c r="E33" s="134"/>
      <c r="F33" s="134"/>
      <c r="G33" s="134"/>
      <c r="H33" s="37">
        <f t="shared" si="11"/>
        <v>1100.943</v>
      </c>
      <c r="I33" s="11"/>
      <c r="J33" s="11">
        <v>1100.943</v>
      </c>
      <c r="K33" s="11"/>
      <c r="L33" s="49"/>
      <c r="M33" s="46"/>
      <c r="N33" s="46"/>
      <c r="O33" s="46"/>
      <c r="P33" s="46"/>
      <c r="Q33" s="46"/>
      <c r="R33" s="11">
        <f t="shared" si="12"/>
        <v>0</v>
      </c>
      <c r="S33" s="11"/>
      <c r="T33" s="11"/>
      <c r="U33" s="11"/>
      <c r="V33" s="11"/>
      <c r="W33" s="11">
        <f t="shared" si="13"/>
        <v>0</v>
      </c>
      <c r="X33" s="11"/>
      <c r="Y33" s="11">
        <v>0</v>
      </c>
      <c r="Z33" s="11"/>
      <c r="AA33" s="11"/>
      <c r="AB33" s="11">
        <f t="shared" si="14"/>
        <v>0</v>
      </c>
      <c r="AC33" s="11">
        <f t="shared" si="15"/>
        <v>0</v>
      </c>
      <c r="AD33" s="11">
        <f t="shared" si="15"/>
        <v>0</v>
      </c>
      <c r="AE33" s="11">
        <f t="shared" si="15"/>
        <v>0</v>
      </c>
      <c r="AF33" s="11">
        <f t="shared" si="15"/>
        <v>0</v>
      </c>
      <c r="AG33" s="10" t="e">
        <f t="shared" si="16"/>
        <v>#REF!</v>
      </c>
      <c r="AH33" s="11" t="e">
        <f>#REF!-S33</f>
        <v>#REF!</v>
      </c>
      <c r="AI33" s="11" t="e">
        <f>#REF!-T33</f>
        <v>#REF!</v>
      </c>
      <c r="AJ33" s="11" t="e">
        <f>#REF!-U33</f>
        <v>#REF!</v>
      </c>
      <c r="AK33" s="11" t="e">
        <f>#REF!-V33</f>
        <v>#REF!</v>
      </c>
    </row>
    <row r="34" spans="1:37" s="28" customFormat="1" ht="20.25" customHeight="1">
      <c r="A34" s="85">
        <v>24</v>
      </c>
      <c r="B34" s="27" t="s">
        <v>73</v>
      </c>
      <c r="C34" s="134"/>
      <c r="D34" s="134"/>
      <c r="E34" s="134"/>
      <c r="F34" s="134"/>
      <c r="G34" s="134"/>
      <c r="H34" s="37">
        <f t="shared" si="11"/>
        <v>2352.777</v>
      </c>
      <c r="I34" s="11"/>
      <c r="J34" s="11">
        <v>1259.784</v>
      </c>
      <c r="K34" s="11"/>
      <c r="L34" s="49">
        <v>1092.993</v>
      </c>
      <c r="M34" s="46"/>
      <c r="N34" s="46"/>
      <c r="O34" s="46"/>
      <c r="P34" s="46"/>
      <c r="Q34" s="46"/>
      <c r="R34" s="11">
        <f t="shared" si="12"/>
        <v>2352.777</v>
      </c>
      <c r="S34" s="11"/>
      <c r="T34" s="11">
        <v>1259.784</v>
      </c>
      <c r="U34" s="11"/>
      <c r="V34" s="11">
        <f>584.698+508.295</f>
        <v>1092.993</v>
      </c>
      <c r="W34" s="11">
        <f t="shared" si="13"/>
        <v>346.18441</v>
      </c>
      <c r="X34" s="11"/>
      <c r="Y34" s="11">
        <v>249.38225</v>
      </c>
      <c r="Z34" s="11"/>
      <c r="AA34" s="11">
        <v>96.80216</v>
      </c>
      <c r="AB34" s="11">
        <f t="shared" si="14"/>
        <v>2698.96141</v>
      </c>
      <c r="AC34" s="11">
        <f t="shared" si="15"/>
        <v>0</v>
      </c>
      <c r="AD34" s="11">
        <f t="shared" si="15"/>
        <v>1509.1662500000002</v>
      </c>
      <c r="AE34" s="11">
        <f t="shared" si="15"/>
        <v>0</v>
      </c>
      <c r="AF34" s="11">
        <f t="shared" si="15"/>
        <v>1189.79516</v>
      </c>
      <c r="AG34" s="10" t="e">
        <f t="shared" si="16"/>
        <v>#REF!</v>
      </c>
      <c r="AH34" s="11" t="e">
        <f>#REF!-S34</f>
        <v>#REF!</v>
      </c>
      <c r="AI34" s="11" t="e">
        <f>#REF!-T34</f>
        <v>#REF!</v>
      </c>
      <c r="AJ34" s="11" t="e">
        <f>#REF!-U34</f>
        <v>#REF!</v>
      </c>
      <c r="AK34" s="11" t="e">
        <f>#REF!-V34</f>
        <v>#REF!</v>
      </c>
    </row>
    <row r="35" spans="1:37" s="28" customFormat="1" ht="20.25" customHeight="1">
      <c r="A35" s="85">
        <v>25</v>
      </c>
      <c r="B35" s="27" t="s">
        <v>74</v>
      </c>
      <c r="C35" s="134"/>
      <c r="D35" s="134"/>
      <c r="E35" s="134"/>
      <c r="F35" s="134"/>
      <c r="G35" s="134"/>
      <c r="H35" s="37">
        <f t="shared" si="11"/>
        <v>1561.9270000000001</v>
      </c>
      <c r="I35" s="11"/>
      <c r="J35" s="11">
        <f>836.327+725.6</f>
        <v>1561.9270000000001</v>
      </c>
      <c r="K35" s="11"/>
      <c r="L35" s="49"/>
      <c r="M35" s="46"/>
      <c r="N35" s="46"/>
      <c r="O35" s="46"/>
      <c r="P35" s="46"/>
      <c r="Q35" s="46"/>
      <c r="R35" s="11">
        <f t="shared" si="12"/>
        <v>1561.9270000000001</v>
      </c>
      <c r="S35" s="11"/>
      <c r="T35" s="11">
        <v>1561.9270000000001</v>
      </c>
      <c r="U35" s="11"/>
      <c r="V35" s="11"/>
      <c r="W35" s="11">
        <f t="shared" si="13"/>
        <v>1901.516</v>
      </c>
      <c r="X35" s="11"/>
      <c r="Y35" s="11">
        <v>1901.516</v>
      </c>
      <c r="Z35" s="11"/>
      <c r="AA35" s="11"/>
      <c r="AB35" s="11">
        <f t="shared" si="14"/>
        <v>3463.443</v>
      </c>
      <c r="AC35" s="11">
        <f t="shared" si="15"/>
        <v>0</v>
      </c>
      <c r="AD35" s="11">
        <f t="shared" si="15"/>
        <v>3463.443</v>
      </c>
      <c r="AE35" s="11">
        <f t="shared" si="15"/>
        <v>0</v>
      </c>
      <c r="AF35" s="11">
        <f t="shared" si="15"/>
        <v>0</v>
      </c>
      <c r="AG35" s="10" t="e">
        <f t="shared" si="16"/>
        <v>#REF!</v>
      </c>
      <c r="AH35" s="11" t="e">
        <f>#REF!-S35</f>
        <v>#REF!</v>
      </c>
      <c r="AI35" s="11" t="e">
        <f>#REF!-T35</f>
        <v>#REF!</v>
      </c>
      <c r="AJ35" s="11" t="e">
        <f>#REF!-U35</f>
        <v>#REF!</v>
      </c>
      <c r="AK35" s="11" t="e">
        <f>#REF!-V35</f>
        <v>#REF!</v>
      </c>
    </row>
    <row r="36" spans="1:37" s="28" customFormat="1" ht="20.25" customHeight="1">
      <c r="A36" s="85">
        <v>26</v>
      </c>
      <c r="B36" s="27" t="s">
        <v>75</v>
      </c>
      <c r="C36" s="134"/>
      <c r="D36" s="134"/>
      <c r="E36" s="134"/>
      <c r="F36" s="134"/>
      <c r="G36" s="134"/>
      <c r="H36" s="37">
        <f t="shared" si="11"/>
        <v>614.302</v>
      </c>
      <c r="I36" s="11"/>
      <c r="J36" s="11">
        <v>614.302</v>
      </c>
      <c r="K36" s="11"/>
      <c r="L36" s="49"/>
      <c r="M36" s="46"/>
      <c r="N36" s="46"/>
      <c r="O36" s="46"/>
      <c r="P36" s="46"/>
      <c r="Q36" s="46"/>
      <c r="R36" s="11">
        <f t="shared" si="12"/>
        <v>614.302</v>
      </c>
      <c r="S36" s="11"/>
      <c r="T36" s="11">
        <v>614.302</v>
      </c>
      <c r="U36" s="11"/>
      <c r="V36" s="11"/>
      <c r="W36" s="11">
        <f t="shared" si="13"/>
        <v>40.128</v>
      </c>
      <c r="X36" s="11"/>
      <c r="Y36" s="11">
        <v>40.128</v>
      </c>
      <c r="Z36" s="11"/>
      <c r="AA36" s="11"/>
      <c r="AB36" s="11">
        <f t="shared" si="14"/>
        <v>654.4300000000001</v>
      </c>
      <c r="AC36" s="11">
        <f t="shared" si="15"/>
        <v>0</v>
      </c>
      <c r="AD36" s="11">
        <f t="shared" si="15"/>
        <v>654.4300000000001</v>
      </c>
      <c r="AE36" s="11">
        <f t="shared" si="15"/>
        <v>0</v>
      </c>
      <c r="AF36" s="11">
        <f t="shared" si="15"/>
        <v>0</v>
      </c>
      <c r="AG36" s="10" t="e">
        <f t="shared" si="16"/>
        <v>#REF!</v>
      </c>
      <c r="AH36" s="11" t="e">
        <f>#REF!-S36</f>
        <v>#REF!</v>
      </c>
      <c r="AI36" s="11" t="e">
        <f>#REF!-T36</f>
        <v>#REF!</v>
      </c>
      <c r="AJ36" s="11" t="e">
        <f>#REF!-U36</f>
        <v>#REF!</v>
      </c>
      <c r="AK36" s="11" t="e">
        <f>#REF!-V36</f>
        <v>#REF!</v>
      </c>
    </row>
    <row r="37" spans="1:37" s="28" customFormat="1" ht="22.5" customHeight="1">
      <c r="A37" s="85">
        <v>27</v>
      </c>
      <c r="B37" s="27" t="s">
        <v>76</v>
      </c>
      <c r="C37" s="134"/>
      <c r="D37" s="134"/>
      <c r="E37" s="134"/>
      <c r="F37" s="134"/>
      <c r="G37" s="134"/>
      <c r="H37" s="37">
        <f t="shared" si="11"/>
        <v>4274.805</v>
      </c>
      <c r="I37" s="11">
        <f>3500-175.35</f>
        <v>3324.65</v>
      </c>
      <c r="J37" s="11">
        <v>508.756</v>
      </c>
      <c r="K37" s="11"/>
      <c r="L37" s="49">
        <v>441.399</v>
      </c>
      <c r="M37" s="46"/>
      <c r="N37" s="46"/>
      <c r="O37" s="46"/>
      <c r="P37" s="46"/>
      <c r="Q37" s="46"/>
      <c r="R37" s="11">
        <f t="shared" si="12"/>
        <v>2973.00285</v>
      </c>
      <c r="S37" s="50">
        <f>2037.08</f>
        <v>2037.08</v>
      </c>
      <c r="T37" s="11">
        <f>494.52385</f>
        <v>494.52385</v>
      </c>
      <c r="U37" s="11"/>
      <c r="V37" s="11">
        <f>441.399</f>
        <v>441.399</v>
      </c>
      <c r="W37" s="11">
        <f t="shared" si="13"/>
        <v>198.86873</v>
      </c>
      <c r="X37" s="11">
        <v>147.47</v>
      </c>
      <c r="Y37" s="11">
        <v>26.02759</v>
      </c>
      <c r="Z37" s="11"/>
      <c r="AA37" s="11">
        <v>25.37114</v>
      </c>
      <c r="AB37" s="11">
        <f t="shared" si="14"/>
        <v>3171.8715799999995</v>
      </c>
      <c r="AC37" s="11">
        <f t="shared" si="15"/>
        <v>2184.5499999999997</v>
      </c>
      <c r="AD37" s="11">
        <f t="shared" si="15"/>
        <v>520.55144</v>
      </c>
      <c r="AE37" s="11">
        <f t="shared" si="15"/>
        <v>0</v>
      </c>
      <c r="AF37" s="11">
        <f t="shared" si="15"/>
        <v>466.77014</v>
      </c>
      <c r="AG37" s="10" t="e">
        <f t="shared" si="16"/>
        <v>#REF!</v>
      </c>
      <c r="AH37" s="11" t="e">
        <f>#REF!-S37</f>
        <v>#REF!</v>
      </c>
      <c r="AI37" s="11" t="e">
        <f>#REF!-T37</f>
        <v>#REF!</v>
      </c>
      <c r="AJ37" s="11" t="e">
        <f>#REF!-U37</f>
        <v>#REF!</v>
      </c>
      <c r="AK37" s="11" t="e">
        <f>#REF!-V37</f>
        <v>#REF!</v>
      </c>
    </row>
    <row r="38" spans="1:37" s="28" customFormat="1" ht="20.25" customHeight="1">
      <c r="A38" s="85">
        <v>28</v>
      </c>
      <c r="B38" s="27" t="s">
        <v>77</v>
      </c>
      <c r="C38" s="134"/>
      <c r="D38" s="134"/>
      <c r="E38" s="134"/>
      <c r="F38" s="134"/>
      <c r="G38" s="134"/>
      <c r="H38" s="37">
        <f t="shared" si="11"/>
        <v>167.049</v>
      </c>
      <c r="I38" s="11"/>
      <c r="J38" s="11">
        <v>167.049</v>
      </c>
      <c r="K38" s="11"/>
      <c r="L38" s="49"/>
      <c r="M38" s="46"/>
      <c r="N38" s="46"/>
      <c r="O38" s="46"/>
      <c r="P38" s="46"/>
      <c r="Q38" s="46"/>
      <c r="R38" s="11">
        <f t="shared" si="12"/>
        <v>167.049</v>
      </c>
      <c r="S38" s="11"/>
      <c r="T38" s="11">
        <v>167.049</v>
      </c>
      <c r="U38" s="11"/>
      <c r="V38" s="11"/>
      <c r="W38" s="11">
        <f t="shared" si="13"/>
        <v>335.413</v>
      </c>
      <c r="X38" s="11"/>
      <c r="Y38" s="11">
        <v>335.413</v>
      </c>
      <c r="Z38" s="11"/>
      <c r="AA38" s="11"/>
      <c r="AB38" s="11">
        <f t="shared" si="14"/>
        <v>502.462</v>
      </c>
      <c r="AC38" s="11">
        <f t="shared" si="15"/>
        <v>0</v>
      </c>
      <c r="AD38" s="11">
        <f t="shared" si="15"/>
        <v>502.462</v>
      </c>
      <c r="AE38" s="11">
        <f t="shared" si="15"/>
        <v>0</v>
      </c>
      <c r="AF38" s="11">
        <f t="shared" si="15"/>
        <v>0</v>
      </c>
      <c r="AG38" s="10" t="e">
        <f t="shared" si="16"/>
        <v>#REF!</v>
      </c>
      <c r="AH38" s="11" t="e">
        <f>#REF!-S38</f>
        <v>#REF!</v>
      </c>
      <c r="AI38" s="11" t="e">
        <f>#REF!-T38</f>
        <v>#REF!</v>
      </c>
      <c r="AJ38" s="11" t="e">
        <f>#REF!-U38</f>
        <v>#REF!</v>
      </c>
      <c r="AK38" s="11" t="e">
        <f>#REF!-V38</f>
        <v>#REF!</v>
      </c>
    </row>
    <row r="39" spans="1:37" s="28" customFormat="1" ht="21.75" customHeight="1">
      <c r="A39" s="85">
        <v>29</v>
      </c>
      <c r="B39" s="27" t="s">
        <v>78</v>
      </c>
      <c r="C39" s="134"/>
      <c r="D39" s="134"/>
      <c r="E39" s="134"/>
      <c r="F39" s="134"/>
      <c r="G39" s="134"/>
      <c r="H39" s="37">
        <f t="shared" si="11"/>
        <v>879.639</v>
      </c>
      <c r="I39" s="11"/>
      <c r="J39" s="11">
        <v>879.639</v>
      </c>
      <c r="K39" s="11"/>
      <c r="L39" s="49"/>
      <c r="M39" s="46"/>
      <c r="N39" s="46"/>
      <c r="O39" s="46"/>
      <c r="P39" s="46"/>
      <c r="Q39" s="46"/>
      <c r="R39" s="11">
        <f t="shared" si="12"/>
        <v>858.62403</v>
      </c>
      <c r="S39" s="11"/>
      <c r="T39" s="11">
        <f>445.98403+412.64</f>
        <v>858.62403</v>
      </c>
      <c r="U39" s="11"/>
      <c r="V39" s="11"/>
      <c r="W39" s="11">
        <f t="shared" si="13"/>
        <v>51.46218</v>
      </c>
      <c r="X39" s="11"/>
      <c r="Y39" s="11">
        <v>51.46218</v>
      </c>
      <c r="Z39" s="11"/>
      <c r="AA39" s="11"/>
      <c r="AB39" s="11">
        <f t="shared" si="14"/>
        <v>910.0862099999999</v>
      </c>
      <c r="AC39" s="11">
        <f t="shared" si="15"/>
        <v>0</v>
      </c>
      <c r="AD39" s="11">
        <f t="shared" si="15"/>
        <v>910.0862099999999</v>
      </c>
      <c r="AE39" s="11">
        <f t="shared" si="15"/>
        <v>0</v>
      </c>
      <c r="AF39" s="11">
        <f t="shared" si="15"/>
        <v>0</v>
      </c>
      <c r="AG39" s="10" t="e">
        <f t="shared" si="16"/>
        <v>#REF!</v>
      </c>
      <c r="AH39" s="11" t="e">
        <f>#REF!-S39</f>
        <v>#REF!</v>
      </c>
      <c r="AI39" s="11" t="e">
        <f>#REF!-T39</f>
        <v>#REF!</v>
      </c>
      <c r="AJ39" s="11" t="e">
        <f>#REF!-U39</f>
        <v>#REF!</v>
      </c>
      <c r="AK39" s="11" t="e">
        <f>#REF!-V39</f>
        <v>#REF!</v>
      </c>
    </row>
    <row r="40" spans="1:37" s="28" customFormat="1" ht="20.25" customHeight="1" hidden="1">
      <c r="A40" s="85"/>
      <c r="B40" s="27" t="s">
        <v>79</v>
      </c>
      <c r="C40" s="134"/>
      <c r="D40" s="134"/>
      <c r="E40" s="134"/>
      <c r="F40" s="134"/>
      <c r="G40" s="134"/>
      <c r="H40" s="37">
        <f t="shared" si="11"/>
        <v>0</v>
      </c>
      <c r="I40" s="11"/>
      <c r="J40" s="11"/>
      <c r="K40" s="11"/>
      <c r="L40" s="49"/>
      <c r="M40" s="46"/>
      <c r="N40" s="46"/>
      <c r="O40" s="46"/>
      <c r="P40" s="46"/>
      <c r="Q40" s="46"/>
      <c r="R40" s="11"/>
      <c r="S40" s="11"/>
      <c r="T40" s="11"/>
      <c r="U40" s="11"/>
      <c r="V40" s="11"/>
      <c r="W40" s="11">
        <f t="shared" si="13"/>
        <v>0</v>
      </c>
      <c r="X40" s="11"/>
      <c r="Y40" s="11"/>
      <c r="Z40" s="11"/>
      <c r="AA40" s="11"/>
      <c r="AB40" s="11">
        <f t="shared" si="14"/>
        <v>0</v>
      </c>
      <c r="AC40" s="11">
        <f t="shared" si="15"/>
        <v>0</v>
      </c>
      <c r="AD40" s="11">
        <f t="shared" si="15"/>
        <v>0</v>
      </c>
      <c r="AE40" s="11">
        <f t="shared" si="15"/>
        <v>0</v>
      </c>
      <c r="AF40" s="11">
        <f t="shared" si="15"/>
        <v>0</v>
      </c>
      <c r="AG40" s="10" t="e">
        <f t="shared" si="16"/>
        <v>#REF!</v>
      </c>
      <c r="AH40" s="11" t="e">
        <f>#REF!-S40</f>
        <v>#REF!</v>
      </c>
      <c r="AI40" s="11" t="e">
        <f>#REF!-T40</f>
        <v>#REF!</v>
      </c>
      <c r="AJ40" s="11" t="e">
        <f>#REF!-U40</f>
        <v>#REF!</v>
      </c>
      <c r="AK40" s="11" t="e">
        <f>#REF!-V40</f>
        <v>#REF!</v>
      </c>
    </row>
    <row r="41" spans="1:37" s="28" customFormat="1" ht="20.25" customHeight="1">
      <c r="A41" s="85">
        <v>30</v>
      </c>
      <c r="B41" s="27" t="s">
        <v>80</v>
      </c>
      <c r="C41" s="134"/>
      <c r="D41" s="134"/>
      <c r="E41" s="134"/>
      <c r="F41" s="134"/>
      <c r="G41" s="134"/>
      <c r="H41" s="37">
        <f t="shared" si="11"/>
        <v>478.031</v>
      </c>
      <c r="I41" s="11"/>
      <c r="J41" s="11">
        <v>478.031</v>
      </c>
      <c r="K41" s="11"/>
      <c r="L41" s="49"/>
      <c r="M41" s="46"/>
      <c r="N41" s="46"/>
      <c r="O41" s="46"/>
      <c r="P41" s="46"/>
      <c r="Q41" s="46"/>
      <c r="R41" s="11">
        <f t="shared" si="12"/>
        <v>477.3303</v>
      </c>
      <c r="S41" s="11"/>
      <c r="T41" s="11">
        <v>477.3303</v>
      </c>
      <c r="U41" s="11"/>
      <c r="V41" s="11"/>
      <c r="W41" s="11">
        <f t="shared" si="13"/>
        <v>25.17554</v>
      </c>
      <c r="X41" s="11"/>
      <c r="Y41" s="11">
        <v>25.17554</v>
      </c>
      <c r="Z41" s="11"/>
      <c r="AA41" s="11"/>
      <c r="AB41" s="11">
        <f t="shared" si="14"/>
        <v>502.50584000000003</v>
      </c>
      <c r="AC41" s="11">
        <f t="shared" si="15"/>
        <v>0</v>
      </c>
      <c r="AD41" s="11">
        <f t="shared" si="15"/>
        <v>502.50584000000003</v>
      </c>
      <c r="AE41" s="11">
        <f t="shared" si="15"/>
        <v>0</v>
      </c>
      <c r="AF41" s="11">
        <f t="shared" si="15"/>
        <v>0</v>
      </c>
      <c r="AG41" s="10" t="e">
        <f t="shared" si="16"/>
        <v>#REF!</v>
      </c>
      <c r="AH41" s="11" t="e">
        <f>#REF!-S41</f>
        <v>#REF!</v>
      </c>
      <c r="AI41" s="11" t="e">
        <f>#REF!-T41</f>
        <v>#REF!</v>
      </c>
      <c r="AJ41" s="11" t="e">
        <f>#REF!-U41</f>
        <v>#REF!</v>
      </c>
      <c r="AK41" s="11" t="e">
        <f>#REF!-V41</f>
        <v>#REF!</v>
      </c>
    </row>
    <row r="42" spans="1:37" s="28" customFormat="1" ht="22.5" customHeight="1">
      <c r="A42" s="85">
        <v>31</v>
      </c>
      <c r="B42" s="72" t="s">
        <v>81</v>
      </c>
      <c r="C42" s="133"/>
      <c r="D42" s="133"/>
      <c r="E42" s="133"/>
      <c r="F42" s="133"/>
      <c r="G42" s="133"/>
      <c r="H42" s="37">
        <f t="shared" si="11"/>
        <v>1107.812</v>
      </c>
      <c r="I42" s="11"/>
      <c r="J42" s="11">
        <v>1107.812</v>
      </c>
      <c r="K42" s="11"/>
      <c r="L42" s="49"/>
      <c r="M42" s="46"/>
      <c r="N42" s="46"/>
      <c r="O42" s="46"/>
      <c r="P42" s="46"/>
      <c r="Q42" s="46"/>
      <c r="R42" s="11">
        <f t="shared" si="12"/>
        <v>1107.812</v>
      </c>
      <c r="S42" s="11"/>
      <c r="T42" s="11">
        <f>735.556+372.256</f>
        <v>1107.812</v>
      </c>
      <c r="U42" s="11"/>
      <c r="V42" s="11"/>
      <c r="W42" s="11">
        <f t="shared" si="13"/>
        <v>58.429</v>
      </c>
      <c r="X42" s="11"/>
      <c r="Y42" s="11">
        <v>58.429</v>
      </c>
      <c r="Z42" s="11"/>
      <c r="AA42" s="11"/>
      <c r="AB42" s="11">
        <f t="shared" si="14"/>
        <v>1166.241</v>
      </c>
      <c r="AC42" s="11">
        <f t="shared" si="15"/>
        <v>0</v>
      </c>
      <c r="AD42" s="11">
        <f t="shared" si="15"/>
        <v>1166.241</v>
      </c>
      <c r="AE42" s="11">
        <f t="shared" si="15"/>
        <v>0</v>
      </c>
      <c r="AF42" s="11">
        <f t="shared" si="15"/>
        <v>0</v>
      </c>
      <c r="AG42" s="10" t="e">
        <f t="shared" si="16"/>
        <v>#REF!</v>
      </c>
      <c r="AH42" s="11" t="e">
        <f>#REF!-S42</f>
        <v>#REF!</v>
      </c>
      <c r="AI42" s="11" t="e">
        <f>#REF!-T42</f>
        <v>#REF!</v>
      </c>
      <c r="AJ42" s="11" t="e">
        <f>#REF!-U42</f>
        <v>#REF!</v>
      </c>
      <c r="AK42" s="11" t="e">
        <f>#REF!-V42</f>
        <v>#REF!</v>
      </c>
    </row>
    <row r="43" spans="1:37" s="28" customFormat="1" ht="20.25" customHeight="1">
      <c r="A43" s="4"/>
      <c r="B43" s="1" t="s">
        <v>19</v>
      </c>
      <c r="C43" s="132"/>
      <c r="D43" s="132"/>
      <c r="E43" s="132"/>
      <c r="F43" s="132"/>
      <c r="G43" s="132"/>
      <c r="H43" s="39">
        <f>SUM(H44:H55)</f>
        <v>22440.431420000004</v>
      </c>
      <c r="I43" s="7">
        <f>SUM(I44:I55)</f>
        <v>0</v>
      </c>
      <c r="J43" s="7">
        <f>SUM(J44:J55)</f>
        <v>16242.260399999997</v>
      </c>
      <c r="K43" s="7">
        <f>SUM(K44:K55)</f>
        <v>0</v>
      </c>
      <c r="L43" s="40">
        <f>SUM(L44:L55)</f>
        <v>6198.171020000001</v>
      </c>
      <c r="M43" s="41"/>
      <c r="N43" s="41"/>
      <c r="O43" s="41"/>
      <c r="P43" s="41"/>
      <c r="Q43" s="41"/>
      <c r="R43" s="7" t="e">
        <f>SUM(R44:R55)</f>
        <v>#REF!</v>
      </c>
      <c r="S43" s="7">
        <f>SUM(S44:S55)</f>
        <v>0</v>
      </c>
      <c r="T43" s="7" t="e">
        <f>SUM(T44:T55)</f>
        <v>#REF!</v>
      </c>
      <c r="U43" s="7">
        <f>SUM(U44:U55)</f>
        <v>0</v>
      </c>
      <c r="V43" s="7" t="e">
        <f>SUM(V44:V55)</f>
        <v>#REF!</v>
      </c>
      <c r="W43" s="7">
        <f aca="true" t="shared" si="17" ref="W43:AK43">SUM(W44:W55)</f>
        <v>12539.9354</v>
      </c>
      <c r="X43" s="7">
        <f t="shared" si="17"/>
        <v>0</v>
      </c>
      <c r="Y43" s="7">
        <f t="shared" si="17"/>
        <v>11715.712430000001</v>
      </c>
      <c r="Z43" s="7">
        <f t="shared" si="17"/>
        <v>0</v>
      </c>
      <c r="AA43" s="7">
        <f t="shared" si="17"/>
        <v>824.2229699999999</v>
      </c>
      <c r="AB43" s="7" t="e">
        <f t="shared" si="17"/>
        <v>#REF!</v>
      </c>
      <c r="AC43" s="7">
        <f t="shared" si="17"/>
        <v>0</v>
      </c>
      <c r="AD43" s="7" t="e">
        <f t="shared" si="17"/>
        <v>#REF!</v>
      </c>
      <c r="AE43" s="7">
        <f t="shared" si="17"/>
        <v>0</v>
      </c>
      <c r="AF43" s="7" t="e">
        <f t="shared" si="17"/>
        <v>#REF!</v>
      </c>
      <c r="AG43" s="20" t="e">
        <f t="shared" si="17"/>
        <v>#REF!</v>
      </c>
      <c r="AH43" s="7" t="e">
        <f t="shared" si="17"/>
        <v>#REF!</v>
      </c>
      <c r="AI43" s="7" t="e">
        <f t="shared" si="17"/>
        <v>#REF!</v>
      </c>
      <c r="AJ43" s="7" t="e">
        <f t="shared" si="17"/>
        <v>#REF!</v>
      </c>
      <c r="AK43" s="7" t="e">
        <f t="shared" si="17"/>
        <v>#REF!</v>
      </c>
    </row>
    <row r="44" spans="1:37" s="28" customFormat="1" ht="20.25" customHeight="1">
      <c r="A44" s="85">
        <v>32</v>
      </c>
      <c r="B44" s="27" t="s">
        <v>82</v>
      </c>
      <c r="C44" s="134"/>
      <c r="D44" s="134"/>
      <c r="E44" s="134"/>
      <c r="F44" s="134"/>
      <c r="G44" s="134"/>
      <c r="H44" s="37">
        <f aca="true" t="shared" si="18" ref="H44:H55">I44+J44+K44+L44</f>
        <v>9262.101999999999</v>
      </c>
      <c r="I44" s="11"/>
      <c r="J44" s="11">
        <v>4959.351</v>
      </c>
      <c r="K44" s="11"/>
      <c r="L44" s="49">
        <v>4302.751</v>
      </c>
      <c r="M44" s="46"/>
      <c r="N44" s="46"/>
      <c r="O44" s="46"/>
      <c r="P44" s="46"/>
      <c r="Q44" s="46"/>
      <c r="R44" s="11">
        <f aca="true" t="shared" si="19" ref="R44:R55">S44+T44+U44+V44</f>
        <v>8975.62836</v>
      </c>
      <c r="S44" s="11"/>
      <c r="T44" s="11">
        <f>3764.10401+1145.65348</f>
        <v>4909.75749</v>
      </c>
      <c r="U44" s="11"/>
      <c r="V44" s="11">
        <f>1553.92792+2511.94295</f>
        <v>4065.87087</v>
      </c>
      <c r="W44" s="11">
        <f aca="true" t="shared" si="20" ref="W44:W55">X44+Y44+Z44+AA44</f>
        <v>1181.09248</v>
      </c>
      <c r="X44" s="11"/>
      <c r="Y44" s="11">
        <v>690.17751</v>
      </c>
      <c r="Z44" s="11"/>
      <c r="AA44" s="11">
        <v>490.91497</v>
      </c>
      <c r="AB44" s="11">
        <f aca="true" t="shared" si="21" ref="AB44:AB55">AC44+AD44+AE44+AF44</f>
        <v>10156.72084</v>
      </c>
      <c r="AC44" s="11">
        <f aca="true" t="shared" si="22" ref="AC44:AF55">S44+X44</f>
        <v>0</v>
      </c>
      <c r="AD44" s="11">
        <f t="shared" si="22"/>
        <v>5599.9349999999995</v>
      </c>
      <c r="AE44" s="11">
        <f t="shared" si="22"/>
        <v>0</v>
      </c>
      <c r="AF44" s="11">
        <f t="shared" si="22"/>
        <v>4556.7858400000005</v>
      </c>
      <c r="AG44" s="10" t="e">
        <f aca="true" t="shared" si="23" ref="AG44:AG55">AH44+AI44+AJ44+AK44</f>
        <v>#REF!</v>
      </c>
      <c r="AH44" s="11" t="e">
        <f>#REF!-S44</f>
        <v>#REF!</v>
      </c>
      <c r="AI44" s="11" t="e">
        <f>#REF!-T44</f>
        <v>#REF!</v>
      </c>
      <c r="AJ44" s="11" t="e">
        <f>#REF!-U44</f>
        <v>#REF!</v>
      </c>
      <c r="AK44" s="11" t="e">
        <f>#REF!-V44</f>
        <v>#REF!</v>
      </c>
    </row>
    <row r="45" spans="1:37" s="28" customFormat="1" ht="20.25" customHeight="1" hidden="1">
      <c r="A45" s="85"/>
      <c r="B45" s="27" t="s">
        <v>83</v>
      </c>
      <c r="C45" s="134"/>
      <c r="D45" s="134"/>
      <c r="E45" s="134"/>
      <c r="F45" s="134"/>
      <c r="G45" s="134"/>
      <c r="H45" s="37"/>
      <c r="I45" s="11"/>
      <c r="J45" s="11"/>
      <c r="K45" s="11"/>
      <c r="L45" s="49"/>
      <c r="M45" s="46"/>
      <c r="N45" s="46"/>
      <c r="O45" s="46"/>
      <c r="P45" s="46"/>
      <c r="Q45" s="46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0"/>
      <c r="AH45" s="11"/>
      <c r="AI45" s="11"/>
      <c r="AJ45" s="11"/>
      <c r="AK45" s="11"/>
    </row>
    <row r="46" spans="1:37" s="28" customFormat="1" ht="20.25" customHeight="1">
      <c r="A46" s="85">
        <v>33</v>
      </c>
      <c r="B46" s="27" t="s">
        <v>84</v>
      </c>
      <c r="C46" s="134"/>
      <c r="D46" s="134"/>
      <c r="E46" s="134"/>
      <c r="F46" s="134"/>
      <c r="G46" s="134"/>
      <c r="H46" s="37">
        <f t="shared" si="18"/>
        <v>1687.334</v>
      </c>
      <c r="I46" s="11"/>
      <c r="J46" s="11">
        <v>1687.334</v>
      </c>
      <c r="K46" s="11"/>
      <c r="L46" s="49"/>
      <c r="M46" s="46"/>
      <c r="N46" s="46"/>
      <c r="O46" s="46"/>
      <c r="P46" s="46"/>
      <c r="Q46" s="46"/>
      <c r="R46" s="11">
        <f t="shared" si="19"/>
        <v>1687.334</v>
      </c>
      <c r="S46" s="11"/>
      <c r="T46" s="11">
        <f>1687.334</f>
        <v>1687.334</v>
      </c>
      <c r="U46" s="11"/>
      <c r="V46" s="11"/>
      <c r="W46" s="11">
        <f t="shared" si="20"/>
        <v>3787.05612</v>
      </c>
      <c r="X46" s="11"/>
      <c r="Y46" s="11">
        <v>3787.05612</v>
      </c>
      <c r="Z46" s="11"/>
      <c r="AA46" s="11"/>
      <c r="AB46" s="11">
        <f t="shared" si="21"/>
        <v>5474.39012</v>
      </c>
      <c r="AC46" s="11">
        <f t="shared" si="22"/>
        <v>0</v>
      </c>
      <c r="AD46" s="11">
        <f t="shared" si="22"/>
        <v>5474.39012</v>
      </c>
      <c r="AE46" s="11">
        <f t="shared" si="22"/>
        <v>0</v>
      </c>
      <c r="AF46" s="11">
        <f t="shared" si="22"/>
        <v>0</v>
      </c>
      <c r="AG46" s="10" t="e">
        <f t="shared" si="23"/>
        <v>#REF!</v>
      </c>
      <c r="AH46" s="11" t="e">
        <f>#REF!-S46</f>
        <v>#REF!</v>
      </c>
      <c r="AI46" s="11" t="e">
        <f>#REF!-T46</f>
        <v>#REF!</v>
      </c>
      <c r="AJ46" s="11" t="e">
        <f>#REF!-U46</f>
        <v>#REF!</v>
      </c>
      <c r="AK46" s="11" t="e">
        <f>#REF!-V46</f>
        <v>#REF!</v>
      </c>
    </row>
    <row r="47" spans="1:37" s="28" customFormat="1" ht="20.25" customHeight="1">
      <c r="A47" s="85">
        <v>34</v>
      </c>
      <c r="B47" s="27" t="s">
        <v>85</v>
      </c>
      <c r="C47" s="134"/>
      <c r="D47" s="134"/>
      <c r="E47" s="134"/>
      <c r="F47" s="134"/>
      <c r="G47" s="134"/>
      <c r="H47" s="37">
        <f t="shared" si="18"/>
        <v>3751.372</v>
      </c>
      <c r="I47" s="11"/>
      <c r="J47" s="11">
        <v>3751.372</v>
      </c>
      <c r="K47" s="11"/>
      <c r="L47" s="49"/>
      <c r="M47" s="46"/>
      <c r="N47" s="46"/>
      <c r="O47" s="46"/>
      <c r="P47" s="46"/>
      <c r="Q47" s="46"/>
      <c r="R47" s="11">
        <f t="shared" si="19"/>
        <v>3751.372</v>
      </c>
      <c r="S47" s="11"/>
      <c r="T47" s="11">
        <f>3751.372</f>
        <v>3751.372</v>
      </c>
      <c r="U47" s="11"/>
      <c r="V47" s="11"/>
      <c r="W47" s="11">
        <f t="shared" si="20"/>
        <v>813.728</v>
      </c>
      <c r="X47" s="11"/>
      <c r="Y47" s="11">
        <v>813.728</v>
      </c>
      <c r="Z47" s="11"/>
      <c r="AA47" s="11"/>
      <c r="AB47" s="11">
        <f t="shared" si="21"/>
        <v>4565.099999999999</v>
      </c>
      <c r="AC47" s="11">
        <f t="shared" si="22"/>
        <v>0</v>
      </c>
      <c r="AD47" s="11">
        <f t="shared" si="22"/>
        <v>4565.099999999999</v>
      </c>
      <c r="AE47" s="11">
        <f t="shared" si="22"/>
        <v>0</v>
      </c>
      <c r="AF47" s="11">
        <f t="shared" si="22"/>
        <v>0</v>
      </c>
      <c r="AG47" s="10" t="e">
        <f t="shared" si="23"/>
        <v>#REF!</v>
      </c>
      <c r="AH47" s="11" t="e">
        <f>#REF!-S47</f>
        <v>#REF!</v>
      </c>
      <c r="AI47" s="11" t="e">
        <f>#REF!-T47</f>
        <v>#REF!</v>
      </c>
      <c r="AJ47" s="11" t="e">
        <f>#REF!-U47</f>
        <v>#REF!</v>
      </c>
      <c r="AK47" s="11" t="e">
        <f>#REF!-V47</f>
        <v>#REF!</v>
      </c>
    </row>
    <row r="48" spans="1:37" s="28" customFormat="1" ht="16.5" customHeight="1">
      <c r="A48" s="85">
        <v>35</v>
      </c>
      <c r="B48" s="27" t="s">
        <v>86</v>
      </c>
      <c r="C48" s="134"/>
      <c r="D48" s="134"/>
      <c r="E48" s="134"/>
      <c r="F48" s="134"/>
      <c r="G48" s="134"/>
      <c r="H48" s="37">
        <f t="shared" si="18"/>
        <v>705.548</v>
      </c>
      <c r="I48" s="11"/>
      <c r="J48" s="11">
        <v>705.548</v>
      </c>
      <c r="K48" s="11"/>
      <c r="L48" s="49"/>
      <c r="M48" s="46"/>
      <c r="N48" s="46"/>
      <c r="O48" s="46"/>
      <c r="P48" s="46"/>
      <c r="Q48" s="46"/>
      <c r="R48" s="11" t="e">
        <f t="shared" si="19"/>
        <v>#REF!</v>
      </c>
      <c r="S48" s="11"/>
      <c r="T48" s="11" t="e">
        <f>#REF!</f>
        <v>#REF!</v>
      </c>
      <c r="U48" s="11"/>
      <c r="V48" s="11"/>
      <c r="W48" s="11">
        <f t="shared" si="20"/>
        <v>801.90685</v>
      </c>
      <c r="X48" s="11"/>
      <c r="Y48" s="11">
        <v>801.90685</v>
      </c>
      <c r="Z48" s="11"/>
      <c r="AA48" s="11"/>
      <c r="AB48" s="11" t="e">
        <f t="shared" si="21"/>
        <v>#REF!</v>
      </c>
      <c r="AC48" s="11">
        <f t="shared" si="22"/>
        <v>0</v>
      </c>
      <c r="AD48" s="11" t="e">
        <f t="shared" si="22"/>
        <v>#REF!</v>
      </c>
      <c r="AE48" s="11">
        <f t="shared" si="22"/>
        <v>0</v>
      </c>
      <c r="AF48" s="11">
        <f t="shared" si="22"/>
        <v>0</v>
      </c>
      <c r="AG48" s="10" t="e">
        <f t="shared" si="23"/>
        <v>#REF!</v>
      </c>
      <c r="AH48" s="11" t="e">
        <f>#REF!-S48</f>
        <v>#REF!</v>
      </c>
      <c r="AI48" s="11" t="e">
        <f>#REF!-T48</f>
        <v>#REF!</v>
      </c>
      <c r="AJ48" s="11" t="e">
        <f>#REF!-U48</f>
        <v>#REF!</v>
      </c>
      <c r="AK48" s="11" t="e">
        <f>#REF!-V48</f>
        <v>#REF!</v>
      </c>
    </row>
    <row r="49" spans="1:37" s="28" customFormat="1" ht="20.25" customHeight="1">
      <c r="A49" s="85">
        <v>36</v>
      </c>
      <c r="B49" s="27" t="s">
        <v>87</v>
      </c>
      <c r="C49" s="134"/>
      <c r="D49" s="134"/>
      <c r="E49" s="134"/>
      <c r="F49" s="134"/>
      <c r="G49" s="134"/>
      <c r="H49" s="37">
        <f t="shared" si="18"/>
        <v>332.886</v>
      </c>
      <c r="I49" s="11"/>
      <c r="J49" s="11"/>
      <c r="K49" s="11"/>
      <c r="L49" s="49">
        <v>332.886</v>
      </c>
      <c r="M49" s="46"/>
      <c r="N49" s="46"/>
      <c r="O49" s="46"/>
      <c r="P49" s="46"/>
      <c r="Q49" s="46"/>
      <c r="R49" s="11" t="e">
        <f t="shared" si="19"/>
        <v>#REF!</v>
      </c>
      <c r="S49" s="11"/>
      <c r="T49" s="11"/>
      <c r="U49" s="11"/>
      <c r="V49" s="11" t="e">
        <f>#REF!</f>
        <v>#REF!</v>
      </c>
      <c r="W49" s="11">
        <f t="shared" si="20"/>
        <v>230.05572</v>
      </c>
      <c r="X49" s="11"/>
      <c r="Y49" s="11"/>
      <c r="Z49" s="11"/>
      <c r="AA49" s="11">
        <v>230.05572</v>
      </c>
      <c r="AB49" s="11" t="e">
        <f t="shared" si="21"/>
        <v>#REF!</v>
      </c>
      <c r="AC49" s="11">
        <f t="shared" si="22"/>
        <v>0</v>
      </c>
      <c r="AD49" s="11">
        <f t="shared" si="22"/>
        <v>0</v>
      </c>
      <c r="AE49" s="11">
        <f t="shared" si="22"/>
        <v>0</v>
      </c>
      <c r="AF49" s="11" t="e">
        <f t="shared" si="22"/>
        <v>#REF!</v>
      </c>
      <c r="AG49" s="10" t="e">
        <f t="shared" si="23"/>
        <v>#REF!</v>
      </c>
      <c r="AH49" s="11" t="e">
        <f>#REF!-S49</f>
        <v>#REF!</v>
      </c>
      <c r="AI49" s="11" t="e">
        <f>#REF!-T49</f>
        <v>#REF!</v>
      </c>
      <c r="AJ49" s="11" t="e">
        <f>#REF!-U49</f>
        <v>#REF!</v>
      </c>
      <c r="AK49" s="11" t="e">
        <f>#REF!-V49</f>
        <v>#REF!</v>
      </c>
    </row>
    <row r="50" spans="1:37" s="28" customFormat="1" ht="20.25" customHeight="1">
      <c r="A50" s="85">
        <v>37</v>
      </c>
      <c r="B50" s="27" t="s">
        <v>88</v>
      </c>
      <c r="C50" s="134"/>
      <c r="D50" s="134"/>
      <c r="E50" s="134"/>
      <c r="F50" s="134"/>
      <c r="G50" s="134"/>
      <c r="H50" s="37">
        <f t="shared" si="18"/>
        <v>1025.574</v>
      </c>
      <c r="I50" s="11"/>
      <c r="J50" s="11">
        <v>1025.574</v>
      </c>
      <c r="K50" s="11"/>
      <c r="L50" s="49"/>
      <c r="M50" s="46"/>
      <c r="N50" s="46"/>
      <c r="O50" s="46"/>
      <c r="P50" s="46"/>
      <c r="Q50" s="46"/>
      <c r="R50" s="11" t="e">
        <f t="shared" si="19"/>
        <v>#REF!</v>
      </c>
      <c r="S50" s="11"/>
      <c r="T50" s="11" t="e">
        <f>#REF!</f>
        <v>#REF!</v>
      </c>
      <c r="U50" s="11"/>
      <c r="V50" s="11"/>
      <c r="W50" s="11">
        <f t="shared" si="20"/>
        <v>832.90844</v>
      </c>
      <c r="X50" s="11"/>
      <c r="Y50" s="11">
        <v>832.90844</v>
      </c>
      <c r="Z50" s="11"/>
      <c r="AA50" s="11"/>
      <c r="AB50" s="11" t="e">
        <f t="shared" si="21"/>
        <v>#REF!</v>
      </c>
      <c r="AC50" s="11">
        <f t="shared" si="22"/>
        <v>0</v>
      </c>
      <c r="AD50" s="11" t="e">
        <f t="shared" si="22"/>
        <v>#REF!</v>
      </c>
      <c r="AE50" s="11">
        <f t="shared" si="22"/>
        <v>0</v>
      </c>
      <c r="AF50" s="11">
        <f t="shared" si="22"/>
        <v>0</v>
      </c>
      <c r="AG50" s="10" t="e">
        <f t="shared" si="23"/>
        <v>#REF!</v>
      </c>
      <c r="AH50" s="11" t="e">
        <f>#REF!-S50</f>
        <v>#REF!</v>
      </c>
      <c r="AI50" s="11" t="e">
        <f>#REF!-T50</f>
        <v>#REF!</v>
      </c>
      <c r="AJ50" s="11" t="e">
        <f>#REF!-U50</f>
        <v>#REF!</v>
      </c>
      <c r="AK50" s="11" t="e">
        <f>#REF!-V50</f>
        <v>#REF!</v>
      </c>
    </row>
    <row r="51" spans="1:37" s="28" customFormat="1" ht="20.25" customHeight="1">
      <c r="A51" s="85">
        <v>38</v>
      </c>
      <c r="B51" s="27" t="s">
        <v>89</v>
      </c>
      <c r="C51" s="134"/>
      <c r="D51" s="134"/>
      <c r="E51" s="134"/>
      <c r="F51" s="134"/>
      <c r="G51" s="134"/>
      <c r="H51" s="37">
        <f t="shared" si="18"/>
        <v>1596.34728</v>
      </c>
      <c r="I51" s="11"/>
      <c r="J51" s="11">
        <f>1027.143-145.27891</f>
        <v>881.86409</v>
      </c>
      <c r="K51" s="11"/>
      <c r="L51" s="11">
        <f>832.451-117.96781</f>
        <v>714.48319</v>
      </c>
      <c r="M51" s="11"/>
      <c r="N51" s="11"/>
      <c r="O51" s="11"/>
      <c r="P51" s="11"/>
      <c r="Q51" s="11"/>
      <c r="R51" s="11">
        <f t="shared" si="19"/>
        <v>1596.34728</v>
      </c>
      <c r="S51" s="11"/>
      <c r="T51" s="11">
        <f>1027.143-145.27891</f>
        <v>881.86409</v>
      </c>
      <c r="U51" s="11"/>
      <c r="V51" s="11">
        <f>832.451-117.96781</f>
        <v>714.48319</v>
      </c>
      <c r="W51" s="11">
        <f t="shared" si="20"/>
        <v>193.22746</v>
      </c>
      <c r="X51" s="11"/>
      <c r="Y51" s="11">
        <v>155.62307</v>
      </c>
      <c r="Z51" s="11"/>
      <c r="AA51" s="11">
        <v>37.60439</v>
      </c>
      <c r="AB51" s="11">
        <f t="shared" si="21"/>
        <v>1789.57474</v>
      </c>
      <c r="AC51" s="11">
        <f t="shared" si="22"/>
        <v>0</v>
      </c>
      <c r="AD51" s="11">
        <f t="shared" si="22"/>
        <v>1037.4871600000001</v>
      </c>
      <c r="AE51" s="11">
        <f t="shared" si="22"/>
        <v>0</v>
      </c>
      <c r="AF51" s="11">
        <f t="shared" si="22"/>
        <v>752.08758</v>
      </c>
      <c r="AG51" s="10" t="e">
        <f t="shared" si="23"/>
        <v>#REF!</v>
      </c>
      <c r="AH51" s="11" t="e">
        <f>#REF!-S51</f>
        <v>#REF!</v>
      </c>
      <c r="AI51" s="11" t="e">
        <f>#REF!-T51</f>
        <v>#REF!</v>
      </c>
      <c r="AJ51" s="11" t="e">
        <f>#REF!-U51</f>
        <v>#REF!</v>
      </c>
      <c r="AK51" s="11" t="e">
        <f>#REF!-V51</f>
        <v>#REF!</v>
      </c>
    </row>
    <row r="52" spans="1:37" s="28" customFormat="1" ht="20.25" customHeight="1">
      <c r="A52" s="85">
        <v>39</v>
      </c>
      <c r="B52" s="27" t="s">
        <v>90</v>
      </c>
      <c r="C52" s="134"/>
      <c r="D52" s="134"/>
      <c r="E52" s="134"/>
      <c r="F52" s="134"/>
      <c r="G52" s="134"/>
      <c r="H52" s="37">
        <f t="shared" si="18"/>
        <v>744.58</v>
      </c>
      <c r="I52" s="11"/>
      <c r="J52" s="11">
        <v>744.58</v>
      </c>
      <c r="K52" s="11"/>
      <c r="L52" s="49"/>
      <c r="M52" s="46"/>
      <c r="N52" s="46"/>
      <c r="O52" s="46"/>
      <c r="P52" s="46"/>
      <c r="Q52" s="46"/>
      <c r="R52" s="11">
        <f t="shared" si="19"/>
        <v>670</v>
      </c>
      <c r="S52" s="11"/>
      <c r="T52" s="11">
        <f>670</f>
        <v>670</v>
      </c>
      <c r="U52" s="11"/>
      <c r="V52" s="11"/>
      <c r="W52" s="11">
        <f t="shared" si="20"/>
        <v>37.66331</v>
      </c>
      <c r="X52" s="11"/>
      <c r="Y52" s="11">
        <v>37.66331</v>
      </c>
      <c r="Z52" s="11"/>
      <c r="AA52" s="11"/>
      <c r="AB52" s="11">
        <f t="shared" si="21"/>
        <v>707.66331</v>
      </c>
      <c r="AC52" s="11">
        <f t="shared" si="22"/>
        <v>0</v>
      </c>
      <c r="AD52" s="11">
        <f t="shared" si="22"/>
        <v>707.66331</v>
      </c>
      <c r="AE52" s="11">
        <f t="shared" si="22"/>
        <v>0</v>
      </c>
      <c r="AF52" s="11">
        <f t="shared" si="22"/>
        <v>0</v>
      </c>
      <c r="AG52" s="10" t="e">
        <f t="shared" si="23"/>
        <v>#REF!</v>
      </c>
      <c r="AH52" s="11" t="e">
        <f>#REF!-S52</f>
        <v>#REF!</v>
      </c>
      <c r="AI52" s="11" t="e">
        <f>#REF!-T52</f>
        <v>#REF!</v>
      </c>
      <c r="AJ52" s="11" t="e">
        <f>#REF!-U52</f>
        <v>#REF!</v>
      </c>
      <c r="AK52" s="11" t="e">
        <f>#REF!-V52</f>
        <v>#REF!</v>
      </c>
    </row>
    <row r="53" spans="1:37" s="28" customFormat="1" ht="20.25" customHeight="1">
      <c r="A53" s="85">
        <v>40</v>
      </c>
      <c r="B53" s="27" t="s">
        <v>91</v>
      </c>
      <c r="C53" s="134"/>
      <c r="D53" s="134"/>
      <c r="E53" s="134"/>
      <c r="F53" s="134"/>
      <c r="G53" s="134"/>
      <c r="H53" s="37">
        <f t="shared" si="18"/>
        <v>1830.45114</v>
      </c>
      <c r="I53" s="11"/>
      <c r="J53" s="11">
        <f>987.337-4.93669</f>
        <v>982.40031</v>
      </c>
      <c r="K53" s="11"/>
      <c r="L53" s="49">
        <f>856.617-8.56617</f>
        <v>848.0508299999999</v>
      </c>
      <c r="M53" s="46"/>
      <c r="N53" s="46"/>
      <c r="O53" s="46"/>
      <c r="P53" s="46"/>
      <c r="Q53" s="46"/>
      <c r="R53" s="11">
        <f t="shared" si="19"/>
        <v>1830.45114</v>
      </c>
      <c r="S53" s="11"/>
      <c r="T53" s="11">
        <f>987.337-4.93669</f>
        <v>982.40031</v>
      </c>
      <c r="U53" s="11"/>
      <c r="V53" s="11">
        <f>856.617-8.56617</f>
        <v>848.0508299999999</v>
      </c>
      <c r="W53" s="11">
        <f t="shared" si="20"/>
        <v>4634.894850000001</v>
      </c>
      <c r="X53" s="11"/>
      <c r="Y53" s="11">
        <v>4569.24696</v>
      </c>
      <c r="Z53" s="11"/>
      <c r="AA53" s="11">
        <v>65.64789</v>
      </c>
      <c r="AB53" s="11">
        <f t="shared" si="21"/>
        <v>6465.34599</v>
      </c>
      <c r="AC53" s="11">
        <f t="shared" si="22"/>
        <v>0</v>
      </c>
      <c r="AD53" s="11">
        <f t="shared" si="22"/>
        <v>5551.64727</v>
      </c>
      <c r="AE53" s="11">
        <f t="shared" si="22"/>
        <v>0</v>
      </c>
      <c r="AF53" s="11">
        <f t="shared" si="22"/>
        <v>913.6987199999999</v>
      </c>
      <c r="AG53" s="10" t="e">
        <f t="shared" si="23"/>
        <v>#REF!</v>
      </c>
      <c r="AH53" s="11" t="e">
        <f>#REF!-S53</f>
        <v>#REF!</v>
      </c>
      <c r="AI53" s="11" t="e">
        <f>#REF!-T53</f>
        <v>#REF!</v>
      </c>
      <c r="AJ53" s="11" t="e">
        <f>#REF!-U53</f>
        <v>#REF!</v>
      </c>
      <c r="AK53" s="11" t="e">
        <f>#REF!-V53</f>
        <v>#REF!</v>
      </c>
    </row>
    <row r="54" spans="1:37" s="28" customFormat="1" ht="20.25" customHeight="1">
      <c r="A54" s="85">
        <v>41</v>
      </c>
      <c r="B54" s="27" t="s">
        <v>92</v>
      </c>
      <c r="C54" s="134"/>
      <c r="D54" s="134"/>
      <c r="E54" s="134"/>
      <c r="F54" s="134"/>
      <c r="G54" s="134"/>
      <c r="H54" s="37">
        <f t="shared" si="18"/>
        <v>460.846</v>
      </c>
      <c r="I54" s="11"/>
      <c r="J54" s="11">
        <v>460.846</v>
      </c>
      <c r="K54" s="11"/>
      <c r="L54" s="49"/>
      <c r="M54" s="46"/>
      <c r="N54" s="46"/>
      <c r="O54" s="46"/>
      <c r="P54" s="46"/>
      <c r="Q54" s="46"/>
      <c r="R54" s="11">
        <f t="shared" si="19"/>
        <v>0</v>
      </c>
      <c r="S54" s="11"/>
      <c r="T54" s="11"/>
      <c r="U54" s="11"/>
      <c r="V54" s="11"/>
      <c r="W54" s="11">
        <f t="shared" si="20"/>
        <v>0</v>
      </c>
      <c r="X54" s="11"/>
      <c r="Y54" s="11"/>
      <c r="Z54" s="11"/>
      <c r="AA54" s="11"/>
      <c r="AB54" s="11">
        <f t="shared" si="21"/>
        <v>0</v>
      </c>
      <c r="AC54" s="11">
        <f t="shared" si="22"/>
        <v>0</v>
      </c>
      <c r="AD54" s="11">
        <f t="shared" si="22"/>
        <v>0</v>
      </c>
      <c r="AE54" s="11">
        <f t="shared" si="22"/>
        <v>0</v>
      </c>
      <c r="AF54" s="11">
        <f t="shared" si="22"/>
        <v>0</v>
      </c>
      <c r="AG54" s="10" t="e">
        <f t="shared" si="23"/>
        <v>#REF!</v>
      </c>
      <c r="AH54" s="11" t="e">
        <f>#REF!-S54</f>
        <v>#REF!</v>
      </c>
      <c r="AI54" s="11" t="e">
        <f>#REF!-T54</f>
        <v>#REF!</v>
      </c>
      <c r="AJ54" s="11" t="e">
        <f>#REF!-U54</f>
        <v>#REF!</v>
      </c>
      <c r="AK54" s="11" t="e">
        <f>#REF!-V54</f>
        <v>#REF!</v>
      </c>
    </row>
    <row r="55" spans="1:37" s="28" customFormat="1" ht="20.25" customHeight="1">
      <c r="A55" s="85">
        <v>42</v>
      </c>
      <c r="B55" s="27" t="s">
        <v>93</v>
      </c>
      <c r="C55" s="134"/>
      <c r="D55" s="134"/>
      <c r="E55" s="134"/>
      <c r="F55" s="134"/>
      <c r="G55" s="134"/>
      <c r="H55" s="37">
        <f t="shared" si="18"/>
        <v>1043.391</v>
      </c>
      <c r="I55" s="11"/>
      <c r="J55" s="11">
        <v>1043.391</v>
      </c>
      <c r="K55" s="11"/>
      <c r="L55" s="49"/>
      <c r="M55" s="46"/>
      <c r="N55" s="46"/>
      <c r="O55" s="46"/>
      <c r="P55" s="46"/>
      <c r="Q55" s="46"/>
      <c r="R55" s="11">
        <f t="shared" si="19"/>
        <v>520.64117</v>
      </c>
      <c r="S55" s="11"/>
      <c r="T55" s="11">
        <f>520.64117</f>
        <v>520.64117</v>
      </c>
      <c r="U55" s="11"/>
      <c r="V55" s="11"/>
      <c r="W55" s="11">
        <f t="shared" si="20"/>
        <v>27.40217</v>
      </c>
      <c r="X55" s="11"/>
      <c r="Y55" s="11">
        <v>27.40217</v>
      </c>
      <c r="Z55" s="11"/>
      <c r="AA55" s="11"/>
      <c r="AB55" s="11">
        <f t="shared" si="21"/>
        <v>548.04334</v>
      </c>
      <c r="AC55" s="11">
        <f t="shared" si="22"/>
        <v>0</v>
      </c>
      <c r="AD55" s="11">
        <f t="shared" si="22"/>
        <v>548.04334</v>
      </c>
      <c r="AE55" s="11">
        <f t="shared" si="22"/>
        <v>0</v>
      </c>
      <c r="AF55" s="11">
        <f t="shared" si="22"/>
        <v>0</v>
      </c>
      <c r="AG55" s="10" t="e">
        <f t="shared" si="23"/>
        <v>#REF!</v>
      </c>
      <c r="AH55" s="11" t="e">
        <f>#REF!-S55</f>
        <v>#REF!</v>
      </c>
      <c r="AI55" s="11" t="e">
        <f>#REF!-T55</f>
        <v>#REF!</v>
      </c>
      <c r="AJ55" s="11" t="e">
        <f>#REF!-U55</f>
        <v>#REF!</v>
      </c>
      <c r="AK55" s="11" t="e">
        <f>#REF!-V55</f>
        <v>#REF!</v>
      </c>
    </row>
    <row r="56" spans="1:37" s="28" customFormat="1" ht="20.25" customHeight="1">
      <c r="A56" s="4"/>
      <c r="B56" s="1" t="s">
        <v>3</v>
      </c>
      <c r="C56" s="132"/>
      <c r="D56" s="132"/>
      <c r="E56" s="132"/>
      <c r="F56" s="132"/>
      <c r="G56" s="132"/>
      <c r="H56" s="39">
        <f>SUM(H58:H69)</f>
        <v>67540.99511999999</v>
      </c>
      <c r="I56" s="7">
        <f>SUM(I58:I69)</f>
        <v>3610</v>
      </c>
      <c r="J56" s="7">
        <f>SUM(J58:J69)</f>
        <v>45123.367999999995</v>
      </c>
      <c r="K56" s="7">
        <f>SUM(K58:K69)</f>
        <v>7572.6</v>
      </c>
      <c r="L56" s="40">
        <f>SUM(L58:L69)</f>
        <v>11235.027119999999</v>
      </c>
      <c r="M56" s="41"/>
      <c r="N56" s="41"/>
      <c r="O56" s="41"/>
      <c r="P56" s="41"/>
      <c r="Q56" s="41"/>
      <c r="R56" s="7">
        <f>SUM(R58:R69)</f>
        <v>50152.17821</v>
      </c>
      <c r="S56" s="7">
        <f>SUM(S58:S69)</f>
        <v>3240</v>
      </c>
      <c r="T56" s="7">
        <f>SUM(T58:T69)</f>
        <v>34452.61788</v>
      </c>
      <c r="U56" s="7">
        <f>SUM(U58:U69)</f>
        <v>5190</v>
      </c>
      <c r="V56" s="7">
        <f>SUM(V58:V69)</f>
        <v>7269.560329999999</v>
      </c>
      <c r="W56" s="7">
        <f aca="true" t="shared" si="24" ref="W56:AK56">SUM(W58:W69)</f>
        <v>11350.873339999998</v>
      </c>
      <c r="X56" s="7">
        <f t="shared" si="24"/>
        <v>190</v>
      </c>
      <c r="Y56" s="7">
        <f t="shared" si="24"/>
        <v>8600.75651</v>
      </c>
      <c r="Z56" s="7">
        <f t="shared" si="24"/>
        <v>278.64579</v>
      </c>
      <c r="AA56" s="7">
        <f t="shared" si="24"/>
        <v>2281.47104</v>
      </c>
      <c r="AB56" s="7">
        <f t="shared" si="24"/>
        <v>61503.051550000004</v>
      </c>
      <c r="AC56" s="7">
        <f t="shared" si="24"/>
        <v>3430</v>
      </c>
      <c r="AD56" s="7">
        <f t="shared" si="24"/>
        <v>43053.374390000004</v>
      </c>
      <c r="AE56" s="7">
        <f t="shared" si="24"/>
        <v>5468.64579</v>
      </c>
      <c r="AF56" s="7">
        <f t="shared" si="24"/>
        <v>9551.03137</v>
      </c>
      <c r="AG56" s="20" t="e">
        <f t="shared" si="24"/>
        <v>#REF!</v>
      </c>
      <c r="AH56" s="7" t="e">
        <f t="shared" si="24"/>
        <v>#REF!</v>
      </c>
      <c r="AI56" s="7" t="e">
        <f t="shared" si="24"/>
        <v>#REF!</v>
      </c>
      <c r="AJ56" s="7" t="e">
        <f t="shared" si="24"/>
        <v>#REF!</v>
      </c>
      <c r="AK56" s="7" t="e">
        <f t="shared" si="24"/>
        <v>#REF!</v>
      </c>
    </row>
    <row r="57" spans="1:37" s="28" customFormat="1" ht="20.25" customHeight="1" hidden="1">
      <c r="A57" s="4"/>
      <c r="B57" s="1"/>
      <c r="C57" s="132"/>
      <c r="D57" s="132"/>
      <c r="E57" s="132"/>
      <c r="F57" s="132"/>
      <c r="G57" s="132"/>
      <c r="H57" s="39"/>
      <c r="I57" s="7"/>
      <c r="J57" s="7"/>
      <c r="K57" s="7"/>
      <c r="L57" s="40"/>
      <c r="M57" s="41"/>
      <c r="N57" s="41"/>
      <c r="O57" s="41"/>
      <c r="P57" s="41"/>
      <c r="Q57" s="41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20"/>
      <c r="AH57" s="7"/>
      <c r="AI57" s="7"/>
      <c r="AJ57" s="7"/>
      <c r="AK57" s="7"/>
    </row>
    <row r="58" spans="1:37" s="28" customFormat="1" ht="20.25" customHeight="1">
      <c r="A58" s="85">
        <v>43</v>
      </c>
      <c r="B58" s="27" t="s">
        <v>94</v>
      </c>
      <c r="C58" s="134"/>
      <c r="D58" s="134"/>
      <c r="E58" s="134"/>
      <c r="F58" s="134"/>
      <c r="G58" s="134"/>
      <c r="H58" s="37">
        <f aca="true" t="shared" si="25" ref="H58:H69">I58+J58+K58+L58</f>
        <v>5898.599</v>
      </c>
      <c r="I58" s="11"/>
      <c r="J58" s="11">
        <v>5898.599</v>
      </c>
      <c r="K58" s="11"/>
      <c r="L58" s="49"/>
      <c r="M58" s="46"/>
      <c r="N58" s="46"/>
      <c r="O58" s="46"/>
      <c r="P58" s="46"/>
      <c r="Q58" s="46"/>
      <c r="R58" s="11">
        <f aca="true" t="shared" si="26" ref="R58:R69">S58+T58+U58+V58</f>
        <v>0</v>
      </c>
      <c r="S58" s="11"/>
      <c r="T58" s="11"/>
      <c r="U58" s="11"/>
      <c r="V58" s="11"/>
      <c r="W58" s="11">
        <f aca="true" t="shared" si="27" ref="W58:W69">X58+Y58+Z58+AA58</f>
        <v>0</v>
      </c>
      <c r="X58" s="11"/>
      <c r="Y58" s="11"/>
      <c r="Z58" s="11"/>
      <c r="AA58" s="11"/>
      <c r="AB58" s="11">
        <f aca="true" t="shared" si="28" ref="AB58:AB69">AC58+AD58+AE58+AF58</f>
        <v>0</v>
      </c>
      <c r="AC58" s="11">
        <f aca="true" t="shared" si="29" ref="AC58:AF69">S58+X58</f>
        <v>0</v>
      </c>
      <c r="AD58" s="11">
        <f t="shared" si="29"/>
        <v>0</v>
      </c>
      <c r="AE58" s="11">
        <f t="shared" si="29"/>
        <v>0</v>
      </c>
      <c r="AF58" s="11">
        <f t="shared" si="29"/>
        <v>0</v>
      </c>
      <c r="AG58" s="10" t="e">
        <f aca="true" t="shared" si="30" ref="AG58:AG69">AH58+AI58+AJ58+AK58</f>
        <v>#REF!</v>
      </c>
      <c r="AH58" s="11" t="e">
        <f>#REF!-S58</f>
        <v>#REF!</v>
      </c>
      <c r="AI58" s="11" t="e">
        <f>#REF!-T58</f>
        <v>#REF!</v>
      </c>
      <c r="AJ58" s="11" t="e">
        <f>#REF!-U58</f>
        <v>#REF!</v>
      </c>
      <c r="AK58" s="11" t="e">
        <f>#REF!-V58</f>
        <v>#REF!</v>
      </c>
    </row>
    <row r="59" spans="1:37" s="28" customFormat="1" ht="20.25" customHeight="1" hidden="1">
      <c r="A59" s="85"/>
      <c r="B59" s="27" t="s">
        <v>95</v>
      </c>
      <c r="C59" s="134"/>
      <c r="D59" s="134"/>
      <c r="E59" s="134"/>
      <c r="F59" s="134"/>
      <c r="G59" s="134"/>
      <c r="H59" s="37">
        <f t="shared" si="25"/>
        <v>0</v>
      </c>
      <c r="I59" s="11"/>
      <c r="J59" s="11"/>
      <c r="K59" s="11"/>
      <c r="L59" s="49"/>
      <c r="M59" s="46"/>
      <c r="N59" s="46"/>
      <c r="O59" s="46"/>
      <c r="P59" s="46"/>
      <c r="Q59" s="46"/>
      <c r="R59" s="11">
        <f t="shared" si="26"/>
        <v>0</v>
      </c>
      <c r="S59" s="11"/>
      <c r="T59" s="11"/>
      <c r="U59" s="11"/>
      <c r="V59" s="11"/>
      <c r="W59" s="11">
        <f t="shared" si="27"/>
        <v>0</v>
      </c>
      <c r="X59" s="11"/>
      <c r="Y59" s="11"/>
      <c r="Z59" s="11"/>
      <c r="AA59" s="11"/>
      <c r="AB59" s="11">
        <f t="shared" si="28"/>
        <v>0</v>
      </c>
      <c r="AC59" s="11">
        <f t="shared" si="29"/>
        <v>0</v>
      </c>
      <c r="AD59" s="11">
        <f t="shared" si="29"/>
        <v>0</v>
      </c>
      <c r="AE59" s="11">
        <f t="shared" si="29"/>
        <v>0</v>
      </c>
      <c r="AF59" s="11">
        <f t="shared" si="29"/>
        <v>0</v>
      </c>
      <c r="AG59" s="10" t="e">
        <f t="shared" si="30"/>
        <v>#REF!</v>
      </c>
      <c r="AH59" s="11" t="e">
        <f>#REF!-S59</f>
        <v>#REF!</v>
      </c>
      <c r="AI59" s="11" t="e">
        <f>#REF!-T59</f>
        <v>#REF!</v>
      </c>
      <c r="AJ59" s="11" t="e">
        <f>#REF!-U59</f>
        <v>#REF!</v>
      </c>
      <c r="AK59" s="11" t="e">
        <f>#REF!-V59</f>
        <v>#REF!</v>
      </c>
    </row>
    <row r="60" spans="1:37" s="28" customFormat="1" ht="20.25" customHeight="1">
      <c r="A60" s="85">
        <v>44</v>
      </c>
      <c r="B60" s="27" t="s">
        <v>96</v>
      </c>
      <c r="C60" s="134"/>
      <c r="D60" s="134"/>
      <c r="E60" s="134"/>
      <c r="F60" s="134"/>
      <c r="G60" s="134"/>
      <c r="H60" s="37">
        <f t="shared" si="25"/>
        <v>4275.0779999999995</v>
      </c>
      <c r="I60" s="11"/>
      <c r="J60" s="11">
        <v>2289.071</v>
      </c>
      <c r="K60" s="11"/>
      <c r="L60" s="49">
        <v>1986.007</v>
      </c>
      <c r="M60" s="46"/>
      <c r="N60" s="46"/>
      <c r="O60" s="46"/>
      <c r="P60" s="46"/>
      <c r="Q60" s="46"/>
      <c r="R60" s="11">
        <f t="shared" si="26"/>
        <v>4275.0779999999995</v>
      </c>
      <c r="S60" s="11"/>
      <c r="T60" s="11">
        <f>1590.904+698.167</f>
        <v>2289.071</v>
      </c>
      <c r="U60" s="11"/>
      <c r="V60" s="11">
        <v>1986.007</v>
      </c>
      <c r="W60" s="11">
        <f t="shared" si="27"/>
        <v>2930.73087</v>
      </c>
      <c r="X60" s="11"/>
      <c r="Y60" s="11">
        <v>927.34313</v>
      </c>
      <c r="Z60" s="11"/>
      <c r="AA60" s="11">
        <v>2003.38774</v>
      </c>
      <c r="AB60" s="11">
        <f t="shared" si="28"/>
        <v>7205.80887</v>
      </c>
      <c r="AC60" s="11">
        <f t="shared" si="29"/>
        <v>0</v>
      </c>
      <c r="AD60" s="11">
        <f t="shared" si="29"/>
        <v>3216.41413</v>
      </c>
      <c r="AE60" s="11">
        <f t="shared" si="29"/>
        <v>0</v>
      </c>
      <c r="AF60" s="11">
        <f t="shared" si="29"/>
        <v>3989.3947399999997</v>
      </c>
      <c r="AG60" s="10" t="e">
        <f t="shared" si="30"/>
        <v>#REF!</v>
      </c>
      <c r="AH60" s="11" t="e">
        <f>#REF!-S60</f>
        <v>#REF!</v>
      </c>
      <c r="AI60" s="11" t="e">
        <f>#REF!-T60</f>
        <v>#REF!</v>
      </c>
      <c r="AJ60" s="11" t="e">
        <f>#REF!-U60</f>
        <v>#REF!</v>
      </c>
      <c r="AK60" s="11" t="e">
        <f>#REF!-V60</f>
        <v>#REF!</v>
      </c>
    </row>
    <row r="61" spans="1:37" s="28" customFormat="1" ht="21" customHeight="1">
      <c r="A61" s="85">
        <v>45</v>
      </c>
      <c r="B61" s="27" t="s">
        <v>97</v>
      </c>
      <c r="C61" s="134"/>
      <c r="D61" s="134"/>
      <c r="E61" s="134"/>
      <c r="F61" s="134"/>
      <c r="G61" s="134"/>
      <c r="H61" s="37">
        <f t="shared" si="25"/>
        <v>11480.77926</v>
      </c>
      <c r="I61" s="11"/>
      <c r="J61" s="11">
        <v>6096.831</v>
      </c>
      <c r="K61" s="11"/>
      <c r="L61" s="49">
        <f>5088.784+295.16426</f>
        <v>5383.948259999999</v>
      </c>
      <c r="M61" s="46"/>
      <c r="N61" s="46"/>
      <c r="O61" s="46"/>
      <c r="P61" s="46"/>
      <c r="Q61" s="46"/>
      <c r="R61" s="11">
        <f t="shared" si="26"/>
        <v>9920.33326</v>
      </c>
      <c r="S61" s="11"/>
      <c r="T61" s="11">
        <f>3780.035+1830.739+485.814</f>
        <v>6096.588</v>
      </c>
      <c r="U61" s="11"/>
      <c r="V61" s="11">
        <f>1142.628+1323.88461+792.521+564.71165</f>
        <v>3823.7452599999997</v>
      </c>
      <c r="W61" s="11">
        <f t="shared" si="27"/>
        <v>522.1267300000001</v>
      </c>
      <c r="X61" s="11"/>
      <c r="Y61" s="11">
        <v>320.87544</v>
      </c>
      <c r="Z61" s="11"/>
      <c r="AA61" s="11">
        <v>201.25129</v>
      </c>
      <c r="AB61" s="11">
        <f t="shared" si="28"/>
        <v>10442.45999</v>
      </c>
      <c r="AC61" s="11">
        <f t="shared" si="29"/>
        <v>0</v>
      </c>
      <c r="AD61" s="11">
        <f t="shared" si="29"/>
        <v>6417.4634399999995</v>
      </c>
      <c r="AE61" s="11">
        <f t="shared" si="29"/>
        <v>0</v>
      </c>
      <c r="AF61" s="11">
        <f t="shared" si="29"/>
        <v>4024.99655</v>
      </c>
      <c r="AG61" s="10" t="e">
        <f t="shared" si="30"/>
        <v>#REF!</v>
      </c>
      <c r="AH61" s="11" t="e">
        <f>#REF!-S61</f>
        <v>#REF!</v>
      </c>
      <c r="AI61" s="11" t="e">
        <f>#REF!-T61</f>
        <v>#REF!</v>
      </c>
      <c r="AJ61" s="11" t="e">
        <f>#REF!-U61</f>
        <v>#REF!</v>
      </c>
      <c r="AK61" s="11" t="e">
        <f>#REF!-V61</f>
        <v>#REF!</v>
      </c>
    </row>
    <row r="62" spans="1:37" s="28" customFormat="1" ht="20.25" customHeight="1">
      <c r="A62" s="85">
        <v>46</v>
      </c>
      <c r="B62" s="27" t="s">
        <v>98</v>
      </c>
      <c r="C62" s="134"/>
      <c r="D62" s="134"/>
      <c r="E62" s="134"/>
      <c r="F62" s="134"/>
      <c r="G62" s="134"/>
      <c r="H62" s="37">
        <f t="shared" si="25"/>
        <v>3308.972</v>
      </c>
      <c r="I62" s="11"/>
      <c r="J62" s="11">
        <v>3308.972</v>
      </c>
      <c r="K62" s="11"/>
      <c r="L62" s="49"/>
      <c r="M62" s="46"/>
      <c r="N62" s="46"/>
      <c r="O62" s="46"/>
      <c r="P62" s="46"/>
      <c r="Q62" s="46"/>
      <c r="R62" s="11">
        <f t="shared" si="26"/>
        <v>3308.972</v>
      </c>
      <c r="S62" s="11"/>
      <c r="T62" s="11">
        <v>3308.972</v>
      </c>
      <c r="U62" s="11"/>
      <c r="V62" s="11"/>
      <c r="W62" s="11">
        <f t="shared" si="27"/>
        <v>1055.418</v>
      </c>
      <c r="X62" s="11"/>
      <c r="Y62" s="11">
        <v>1055.418</v>
      </c>
      <c r="Z62" s="11"/>
      <c r="AA62" s="11"/>
      <c r="AB62" s="11">
        <f t="shared" si="28"/>
        <v>4364.39</v>
      </c>
      <c r="AC62" s="11">
        <f t="shared" si="29"/>
        <v>0</v>
      </c>
      <c r="AD62" s="11">
        <f t="shared" si="29"/>
        <v>4364.39</v>
      </c>
      <c r="AE62" s="11">
        <f t="shared" si="29"/>
        <v>0</v>
      </c>
      <c r="AF62" s="11">
        <f t="shared" si="29"/>
        <v>0</v>
      </c>
      <c r="AG62" s="10" t="e">
        <f t="shared" si="30"/>
        <v>#REF!</v>
      </c>
      <c r="AH62" s="11" t="e">
        <f>#REF!-S62</f>
        <v>#REF!</v>
      </c>
      <c r="AI62" s="11" t="e">
        <f>#REF!-T62</f>
        <v>#REF!</v>
      </c>
      <c r="AJ62" s="11" t="e">
        <f>#REF!-U62</f>
        <v>#REF!</v>
      </c>
      <c r="AK62" s="11" t="e">
        <f>#REF!-V62</f>
        <v>#REF!</v>
      </c>
    </row>
    <row r="63" spans="1:37" s="28" customFormat="1" ht="20.25" customHeight="1">
      <c r="A63" s="85">
        <v>47</v>
      </c>
      <c r="B63" s="27" t="s">
        <v>99</v>
      </c>
      <c r="C63" s="134"/>
      <c r="D63" s="134"/>
      <c r="E63" s="134"/>
      <c r="F63" s="134"/>
      <c r="G63" s="134"/>
      <c r="H63" s="37">
        <f t="shared" si="25"/>
        <v>1130.522</v>
      </c>
      <c r="I63" s="11"/>
      <c r="J63" s="11">
        <v>1130.522</v>
      </c>
      <c r="K63" s="11"/>
      <c r="L63" s="49"/>
      <c r="M63" s="46"/>
      <c r="N63" s="46"/>
      <c r="O63" s="46"/>
      <c r="P63" s="46"/>
      <c r="Q63" s="46"/>
      <c r="R63" s="11">
        <f t="shared" si="26"/>
        <v>1130.522</v>
      </c>
      <c r="S63" s="11"/>
      <c r="T63" s="11">
        <f>605.333+525.189</f>
        <v>1130.522</v>
      </c>
      <c r="U63" s="11"/>
      <c r="V63" s="11"/>
      <c r="W63" s="11">
        <f t="shared" si="27"/>
        <v>1518.481</v>
      </c>
      <c r="X63" s="11"/>
      <c r="Y63" s="11">
        <v>1518.481</v>
      </c>
      <c r="Z63" s="11"/>
      <c r="AA63" s="11"/>
      <c r="AB63" s="11">
        <f t="shared" si="28"/>
        <v>2649.0029999999997</v>
      </c>
      <c r="AC63" s="11">
        <f t="shared" si="29"/>
        <v>0</v>
      </c>
      <c r="AD63" s="11">
        <f t="shared" si="29"/>
        <v>2649.0029999999997</v>
      </c>
      <c r="AE63" s="11">
        <f t="shared" si="29"/>
        <v>0</v>
      </c>
      <c r="AF63" s="11">
        <f t="shared" si="29"/>
        <v>0</v>
      </c>
      <c r="AG63" s="10" t="e">
        <f t="shared" si="30"/>
        <v>#REF!</v>
      </c>
      <c r="AH63" s="11" t="e">
        <f>#REF!-S63</f>
        <v>#REF!</v>
      </c>
      <c r="AI63" s="11" t="e">
        <f>#REF!-T63</f>
        <v>#REF!</v>
      </c>
      <c r="AJ63" s="11" t="e">
        <f>#REF!-U63</f>
        <v>#REF!</v>
      </c>
      <c r="AK63" s="11" t="e">
        <f>#REF!-V63</f>
        <v>#REF!</v>
      </c>
    </row>
    <row r="64" spans="1:37" s="28" customFormat="1" ht="20.25" customHeight="1">
      <c r="A64" s="85">
        <v>48</v>
      </c>
      <c r="B64" s="27" t="s">
        <v>100</v>
      </c>
      <c r="C64" s="134"/>
      <c r="D64" s="134"/>
      <c r="E64" s="134"/>
      <c r="F64" s="134"/>
      <c r="G64" s="134"/>
      <c r="H64" s="37">
        <f t="shared" si="25"/>
        <v>15599.881</v>
      </c>
      <c r="I64" s="11"/>
      <c r="J64" s="11">
        <f>3159.065+2740.816+2127.4</f>
        <v>8027.280999999999</v>
      </c>
      <c r="K64" s="11">
        <v>7572.6</v>
      </c>
      <c r="L64" s="49"/>
      <c r="M64" s="46"/>
      <c r="N64" s="46"/>
      <c r="O64" s="46"/>
      <c r="P64" s="46"/>
      <c r="Q64" s="46"/>
      <c r="R64" s="11">
        <f t="shared" si="26"/>
        <v>11089.881000000001</v>
      </c>
      <c r="S64" s="11"/>
      <c r="T64" s="11">
        <f>5899.881</f>
        <v>5899.881</v>
      </c>
      <c r="U64" s="11">
        <f>5190</f>
        <v>5190</v>
      </c>
      <c r="V64" s="11"/>
      <c r="W64" s="11">
        <f t="shared" si="27"/>
        <v>1918.4003400000001</v>
      </c>
      <c r="X64" s="11"/>
      <c r="Y64" s="11">
        <v>1639.75455</v>
      </c>
      <c r="Z64" s="11">
        <v>278.64579</v>
      </c>
      <c r="AA64" s="11"/>
      <c r="AB64" s="11">
        <f t="shared" si="28"/>
        <v>13008.281340000001</v>
      </c>
      <c r="AC64" s="11">
        <f t="shared" si="29"/>
        <v>0</v>
      </c>
      <c r="AD64" s="11">
        <f t="shared" si="29"/>
        <v>7539.635550000001</v>
      </c>
      <c r="AE64" s="11">
        <f t="shared" si="29"/>
        <v>5468.64579</v>
      </c>
      <c r="AF64" s="11">
        <f t="shared" si="29"/>
        <v>0</v>
      </c>
      <c r="AG64" s="10" t="e">
        <f t="shared" si="30"/>
        <v>#REF!</v>
      </c>
      <c r="AH64" s="11" t="e">
        <f>#REF!-S64</f>
        <v>#REF!</v>
      </c>
      <c r="AI64" s="11" t="e">
        <f>#REF!-T64</f>
        <v>#REF!</v>
      </c>
      <c r="AJ64" s="11" t="e">
        <f>#REF!-U64</f>
        <v>#REF!</v>
      </c>
      <c r="AK64" s="11" t="e">
        <f>#REF!-V64</f>
        <v>#REF!</v>
      </c>
    </row>
    <row r="65" spans="1:37" s="28" customFormat="1" ht="20.25" customHeight="1">
      <c r="A65" s="85">
        <v>49</v>
      </c>
      <c r="B65" s="27" t="s">
        <v>101</v>
      </c>
      <c r="C65" s="134"/>
      <c r="D65" s="134"/>
      <c r="E65" s="134"/>
      <c r="F65" s="134"/>
      <c r="G65" s="134"/>
      <c r="H65" s="37">
        <f t="shared" si="25"/>
        <v>5532.30586</v>
      </c>
      <c r="I65" s="11"/>
      <c r="J65" s="11">
        <f>2488.184+542.072</f>
        <v>3030.2560000000003</v>
      </c>
      <c r="K65" s="11"/>
      <c r="L65" s="49">
        <f>2159.799+342.25086</f>
        <v>2502.04986</v>
      </c>
      <c r="M65" s="46"/>
      <c r="N65" s="46"/>
      <c r="O65" s="46"/>
      <c r="P65" s="46"/>
      <c r="Q65" s="46"/>
      <c r="R65" s="11">
        <f t="shared" si="26"/>
        <v>3416.57495</v>
      </c>
      <c r="S65" s="11"/>
      <c r="T65" s="11">
        <f>1956.76688</f>
        <v>1956.76688</v>
      </c>
      <c r="U65" s="11"/>
      <c r="V65" s="11">
        <f>1459.80807</f>
        <v>1459.80807</v>
      </c>
      <c r="W65" s="11">
        <f t="shared" si="27"/>
        <v>179.81975</v>
      </c>
      <c r="X65" s="11"/>
      <c r="Y65" s="11">
        <v>102.98774</v>
      </c>
      <c r="Z65" s="11"/>
      <c r="AA65" s="11">
        <v>76.83201</v>
      </c>
      <c r="AB65" s="11">
        <f t="shared" si="28"/>
        <v>3596.3947</v>
      </c>
      <c r="AC65" s="11">
        <f t="shared" si="29"/>
        <v>0</v>
      </c>
      <c r="AD65" s="11">
        <f t="shared" si="29"/>
        <v>2059.7546199999997</v>
      </c>
      <c r="AE65" s="11">
        <f t="shared" si="29"/>
        <v>0</v>
      </c>
      <c r="AF65" s="11">
        <f t="shared" si="29"/>
        <v>1536.6400800000001</v>
      </c>
      <c r="AG65" s="10" t="e">
        <f t="shared" si="30"/>
        <v>#REF!</v>
      </c>
      <c r="AH65" s="11" t="e">
        <f>#REF!-S65</f>
        <v>#REF!</v>
      </c>
      <c r="AI65" s="11" t="e">
        <f>#REF!-T65</f>
        <v>#REF!</v>
      </c>
      <c r="AJ65" s="11" t="e">
        <f>#REF!-U65</f>
        <v>#REF!</v>
      </c>
      <c r="AK65" s="11" t="e">
        <f>#REF!-V65</f>
        <v>#REF!</v>
      </c>
    </row>
    <row r="66" spans="1:37" s="28" customFormat="1" ht="20.25" customHeight="1">
      <c r="A66" s="85">
        <v>50</v>
      </c>
      <c r="B66" s="27" t="s">
        <v>102</v>
      </c>
      <c r="C66" s="134"/>
      <c r="D66" s="134"/>
      <c r="E66" s="134"/>
      <c r="F66" s="134"/>
      <c r="G66" s="134"/>
      <c r="H66" s="37">
        <f t="shared" si="25"/>
        <v>9128.839</v>
      </c>
      <c r="I66" s="11"/>
      <c r="J66" s="11">
        <v>9128.839</v>
      </c>
      <c r="K66" s="11"/>
      <c r="L66" s="49"/>
      <c r="M66" s="46"/>
      <c r="N66" s="46"/>
      <c r="O66" s="46"/>
      <c r="P66" s="46"/>
      <c r="Q66" s="46"/>
      <c r="R66" s="11">
        <f t="shared" si="26"/>
        <v>9128.839</v>
      </c>
      <c r="S66" s="11"/>
      <c r="T66" s="11">
        <f>1720.28+2644.473+4764.086</f>
        <v>9128.839</v>
      </c>
      <c r="U66" s="11"/>
      <c r="V66" s="11"/>
      <c r="W66" s="11">
        <f t="shared" si="27"/>
        <v>947.05425</v>
      </c>
      <c r="X66" s="11"/>
      <c r="Y66" s="11">
        <v>947.05425</v>
      </c>
      <c r="Z66" s="11"/>
      <c r="AA66" s="11"/>
      <c r="AB66" s="11">
        <f t="shared" si="28"/>
        <v>10075.89325</v>
      </c>
      <c r="AC66" s="11">
        <f t="shared" si="29"/>
        <v>0</v>
      </c>
      <c r="AD66" s="11">
        <f t="shared" si="29"/>
        <v>10075.89325</v>
      </c>
      <c r="AE66" s="11">
        <f t="shared" si="29"/>
        <v>0</v>
      </c>
      <c r="AF66" s="11">
        <f t="shared" si="29"/>
        <v>0</v>
      </c>
      <c r="AG66" s="10" t="e">
        <f t="shared" si="30"/>
        <v>#REF!</v>
      </c>
      <c r="AH66" s="11" t="e">
        <f>#REF!-S66</f>
        <v>#REF!</v>
      </c>
      <c r="AI66" s="11" t="e">
        <f>#REF!-T66</f>
        <v>#REF!</v>
      </c>
      <c r="AJ66" s="11" t="e">
        <f>#REF!-U66</f>
        <v>#REF!</v>
      </c>
      <c r="AK66" s="11" t="e">
        <f>#REF!-V66</f>
        <v>#REF!</v>
      </c>
    </row>
    <row r="67" spans="1:37" s="28" customFormat="1" ht="20.25" customHeight="1">
      <c r="A67" s="85">
        <v>51</v>
      </c>
      <c r="B67" s="27" t="s">
        <v>103</v>
      </c>
      <c r="C67" s="134"/>
      <c r="D67" s="134"/>
      <c r="E67" s="134"/>
      <c r="F67" s="134"/>
      <c r="G67" s="134"/>
      <c r="H67" s="37">
        <f t="shared" si="25"/>
        <v>3341.7</v>
      </c>
      <c r="I67" s="11"/>
      <c r="J67" s="11">
        <v>3341.7</v>
      </c>
      <c r="K67" s="11"/>
      <c r="L67" s="49"/>
      <c r="M67" s="46"/>
      <c r="N67" s="46"/>
      <c r="O67" s="46"/>
      <c r="P67" s="46"/>
      <c r="Q67" s="46"/>
      <c r="R67" s="11">
        <f t="shared" si="26"/>
        <v>3341.7</v>
      </c>
      <c r="S67" s="11"/>
      <c r="T67" s="11">
        <f>1957.16+1384.54</f>
        <v>3341.7</v>
      </c>
      <c r="U67" s="11"/>
      <c r="V67" s="11"/>
      <c r="W67" s="11">
        <f t="shared" si="27"/>
        <v>902.07251</v>
      </c>
      <c r="X67" s="11"/>
      <c r="Y67" s="11">
        <f>662.37451+239.698</f>
        <v>902.07251</v>
      </c>
      <c r="Z67" s="11"/>
      <c r="AA67" s="11"/>
      <c r="AB67" s="11">
        <f t="shared" si="28"/>
        <v>4243.77251</v>
      </c>
      <c r="AC67" s="11">
        <f t="shared" si="29"/>
        <v>0</v>
      </c>
      <c r="AD67" s="11">
        <f t="shared" si="29"/>
        <v>4243.77251</v>
      </c>
      <c r="AE67" s="11">
        <f t="shared" si="29"/>
        <v>0</v>
      </c>
      <c r="AF67" s="11">
        <f t="shared" si="29"/>
        <v>0</v>
      </c>
      <c r="AG67" s="10" t="e">
        <f t="shared" si="30"/>
        <v>#REF!</v>
      </c>
      <c r="AH67" s="11" t="e">
        <f>#REF!-S67</f>
        <v>#REF!</v>
      </c>
      <c r="AI67" s="11" t="e">
        <f>#REF!-T67</f>
        <v>#REF!</v>
      </c>
      <c r="AJ67" s="11" t="e">
        <f>#REF!-U67</f>
        <v>#REF!</v>
      </c>
      <c r="AK67" s="11" t="e">
        <f>#REF!-V67</f>
        <v>#REF!</v>
      </c>
    </row>
    <row r="68" spans="1:37" s="71" customFormat="1" ht="20.25" customHeight="1">
      <c r="A68" s="85">
        <v>52</v>
      </c>
      <c r="B68" s="27" t="s">
        <v>104</v>
      </c>
      <c r="C68" s="134"/>
      <c r="D68" s="134"/>
      <c r="E68" s="134"/>
      <c r="F68" s="134"/>
      <c r="G68" s="134"/>
      <c r="H68" s="37">
        <f t="shared" si="25"/>
        <v>2934.041</v>
      </c>
      <c r="I68" s="11"/>
      <c r="J68" s="11">
        <v>1571.019</v>
      </c>
      <c r="K68" s="11"/>
      <c r="L68" s="49">
        <v>1363.022</v>
      </c>
      <c r="M68" s="46"/>
      <c r="N68" s="46"/>
      <c r="O68" s="46"/>
      <c r="P68" s="46"/>
      <c r="Q68" s="46"/>
      <c r="R68" s="11">
        <f t="shared" si="26"/>
        <v>0</v>
      </c>
      <c r="S68" s="11"/>
      <c r="T68" s="11"/>
      <c r="U68" s="11"/>
      <c r="V68" s="11"/>
      <c r="W68" s="11">
        <f t="shared" si="27"/>
        <v>0</v>
      </c>
      <c r="X68" s="11"/>
      <c r="Y68" s="11">
        <v>0</v>
      </c>
      <c r="Z68" s="11"/>
      <c r="AA68" s="11"/>
      <c r="AB68" s="11">
        <f t="shared" si="28"/>
        <v>0</v>
      </c>
      <c r="AC68" s="11">
        <f t="shared" si="29"/>
        <v>0</v>
      </c>
      <c r="AD68" s="11">
        <f t="shared" si="29"/>
        <v>0</v>
      </c>
      <c r="AE68" s="11">
        <f t="shared" si="29"/>
        <v>0</v>
      </c>
      <c r="AF68" s="11">
        <f t="shared" si="29"/>
        <v>0</v>
      </c>
      <c r="AG68" s="10" t="e">
        <f t="shared" si="30"/>
        <v>#REF!</v>
      </c>
      <c r="AH68" s="11" t="e">
        <f>#REF!-S68</f>
        <v>#REF!</v>
      </c>
      <c r="AI68" s="11" t="e">
        <f>#REF!-T68</f>
        <v>#REF!</v>
      </c>
      <c r="AJ68" s="11" t="e">
        <f>#REF!-U68</f>
        <v>#REF!</v>
      </c>
      <c r="AK68" s="11" t="e">
        <f>#REF!-V68</f>
        <v>#REF!</v>
      </c>
    </row>
    <row r="69" spans="1:37" s="28" customFormat="1" ht="20.25" customHeight="1">
      <c r="A69" s="85">
        <v>53</v>
      </c>
      <c r="B69" s="27" t="s">
        <v>105</v>
      </c>
      <c r="C69" s="134"/>
      <c r="D69" s="134"/>
      <c r="E69" s="134"/>
      <c r="F69" s="134"/>
      <c r="G69" s="134"/>
      <c r="H69" s="37">
        <f t="shared" si="25"/>
        <v>4910.278</v>
      </c>
      <c r="I69" s="11">
        <f>5000-1390</f>
        <v>3610</v>
      </c>
      <c r="J69" s="11">
        <v>1300.278</v>
      </c>
      <c r="K69" s="11"/>
      <c r="L69" s="49"/>
      <c r="M69" s="46"/>
      <c r="N69" s="46"/>
      <c r="O69" s="46"/>
      <c r="P69" s="46"/>
      <c r="Q69" s="46"/>
      <c r="R69" s="11">
        <f t="shared" si="26"/>
        <v>4540.278</v>
      </c>
      <c r="S69" s="11">
        <v>3240</v>
      </c>
      <c r="T69" s="11">
        <v>1300.278</v>
      </c>
      <c r="U69" s="11"/>
      <c r="V69" s="11"/>
      <c r="W69" s="11">
        <f t="shared" si="27"/>
        <v>1376.76989</v>
      </c>
      <c r="X69" s="11">
        <v>190</v>
      </c>
      <c r="Y69" s="11">
        <v>1186.76989</v>
      </c>
      <c r="Z69" s="11"/>
      <c r="AA69" s="11"/>
      <c r="AB69" s="11">
        <f t="shared" si="28"/>
        <v>5917.04789</v>
      </c>
      <c r="AC69" s="11">
        <f t="shared" si="29"/>
        <v>3430</v>
      </c>
      <c r="AD69" s="11">
        <f t="shared" si="29"/>
        <v>2487.04789</v>
      </c>
      <c r="AE69" s="11">
        <f t="shared" si="29"/>
        <v>0</v>
      </c>
      <c r="AF69" s="11">
        <f t="shared" si="29"/>
        <v>0</v>
      </c>
      <c r="AG69" s="10" t="e">
        <f t="shared" si="30"/>
        <v>#REF!</v>
      </c>
      <c r="AH69" s="11" t="e">
        <f>#REF!-S69</f>
        <v>#REF!</v>
      </c>
      <c r="AI69" s="11" t="e">
        <f>#REF!-T69</f>
        <v>#REF!</v>
      </c>
      <c r="AJ69" s="11" t="e">
        <f>#REF!-U69</f>
        <v>#REF!</v>
      </c>
      <c r="AK69" s="11" t="e">
        <f>#REF!-V69</f>
        <v>#REF!</v>
      </c>
    </row>
    <row r="70" spans="1:37" s="28" customFormat="1" ht="20.25" customHeight="1">
      <c r="A70" s="4"/>
      <c r="B70" s="1" t="s">
        <v>20</v>
      </c>
      <c r="C70" s="132"/>
      <c r="D70" s="132"/>
      <c r="E70" s="132"/>
      <c r="F70" s="132"/>
      <c r="G70" s="132"/>
      <c r="H70" s="39">
        <f>SUM(H71:H86)</f>
        <v>49885.030000000006</v>
      </c>
      <c r="I70" s="7">
        <f>SUM(I71:I86)</f>
        <v>8948.099999999999</v>
      </c>
      <c r="J70" s="7">
        <f>SUM(J71:J86)</f>
        <v>26611.720999999998</v>
      </c>
      <c r="K70" s="7">
        <f>SUM(K71:K86)</f>
        <v>4409.448</v>
      </c>
      <c r="L70" s="40">
        <f>SUM(L71:L86)</f>
        <v>9915.761</v>
      </c>
      <c r="M70" s="41"/>
      <c r="N70" s="41"/>
      <c r="O70" s="41"/>
      <c r="P70" s="41"/>
      <c r="Q70" s="41"/>
      <c r="R70" s="7">
        <f>SUM(R71:R86)</f>
        <v>34660.1476</v>
      </c>
      <c r="S70" s="7">
        <f>SUM(S71:S86)</f>
        <v>0</v>
      </c>
      <c r="T70" s="7">
        <f>SUM(T71:T86)</f>
        <v>23694.2906</v>
      </c>
      <c r="U70" s="7">
        <f>SUM(U71:U86)</f>
        <v>3240.9379999999996</v>
      </c>
      <c r="V70" s="7">
        <f>SUM(V71:V86)</f>
        <v>7724.918999999999</v>
      </c>
      <c r="W70" s="7">
        <f aca="true" t="shared" si="31" ref="W70:AK70">SUM(W71:W86)</f>
        <v>6669.696100000001</v>
      </c>
      <c r="X70" s="7">
        <f t="shared" si="31"/>
        <v>0</v>
      </c>
      <c r="Y70" s="7">
        <f t="shared" si="31"/>
        <v>4454.690170000001</v>
      </c>
      <c r="Z70" s="7">
        <f t="shared" si="31"/>
        <v>170.57737</v>
      </c>
      <c r="AA70" s="7">
        <f t="shared" si="31"/>
        <v>2044.4285599999998</v>
      </c>
      <c r="AB70" s="7">
        <f t="shared" si="31"/>
        <v>41329.8437</v>
      </c>
      <c r="AC70" s="7">
        <f t="shared" si="31"/>
        <v>0</v>
      </c>
      <c r="AD70" s="7">
        <f t="shared" si="31"/>
        <v>28148.98077</v>
      </c>
      <c r="AE70" s="7">
        <f t="shared" si="31"/>
        <v>3411.5153699999996</v>
      </c>
      <c r="AF70" s="7">
        <f t="shared" si="31"/>
        <v>9769.34756</v>
      </c>
      <c r="AG70" s="20" t="e">
        <f t="shared" si="31"/>
        <v>#REF!</v>
      </c>
      <c r="AH70" s="7" t="e">
        <f t="shared" si="31"/>
        <v>#REF!</v>
      </c>
      <c r="AI70" s="7" t="e">
        <f t="shared" si="31"/>
        <v>#REF!</v>
      </c>
      <c r="AJ70" s="7" t="e">
        <f t="shared" si="31"/>
        <v>#REF!</v>
      </c>
      <c r="AK70" s="7" t="e">
        <f t="shared" si="31"/>
        <v>#REF!</v>
      </c>
    </row>
    <row r="71" spans="1:37" s="28" customFormat="1" ht="22.5" customHeight="1">
      <c r="A71" s="9">
        <v>54</v>
      </c>
      <c r="B71" s="75" t="s">
        <v>29</v>
      </c>
      <c r="C71" s="137"/>
      <c r="D71" s="137"/>
      <c r="E71" s="137"/>
      <c r="F71" s="137"/>
      <c r="G71" s="137"/>
      <c r="H71" s="37">
        <f aca="true" t="shared" si="32" ref="H71:H86">I71+J71+K71+L71</f>
        <v>9772.733</v>
      </c>
      <c r="I71" s="11">
        <f>3787.06+5873.698-3434.458</f>
        <v>6226.299999999999</v>
      </c>
      <c r="J71" s="13">
        <v>3546.433</v>
      </c>
      <c r="K71" s="13"/>
      <c r="L71" s="76"/>
      <c r="M71" s="127"/>
      <c r="N71" s="127"/>
      <c r="O71" s="127"/>
      <c r="P71" s="127"/>
      <c r="Q71" s="127"/>
      <c r="R71" s="11">
        <f aca="true" t="shared" si="33" ref="R71:R86">S71+T71+U71+V71</f>
        <v>3085.3966</v>
      </c>
      <c r="S71" s="11"/>
      <c r="T71" s="11">
        <f>3085.3966</f>
        <v>3085.3966</v>
      </c>
      <c r="U71" s="11"/>
      <c r="V71" s="11"/>
      <c r="W71" s="11">
        <f aca="true" t="shared" si="34" ref="W71:W86">X71+Y71+Z71+AA71</f>
        <v>434.02558</v>
      </c>
      <c r="X71" s="11"/>
      <c r="Y71" s="11">
        <v>434.02558</v>
      </c>
      <c r="Z71" s="11"/>
      <c r="AA71" s="11"/>
      <c r="AB71" s="11">
        <f aca="true" t="shared" si="35" ref="AB71:AB86">AC71+AD71+AE71+AF71</f>
        <v>3519.42218</v>
      </c>
      <c r="AC71" s="11">
        <f aca="true" t="shared" si="36" ref="AC71:AF86">S71+X71</f>
        <v>0</v>
      </c>
      <c r="AD71" s="11">
        <f t="shared" si="36"/>
        <v>3519.42218</v>
      </c>
      <c r="AE71" s="11">
        <f t="shared" si="36"/>
        <v>0</v>
      </c>
      <c r="AF71" s="11">
        <f t="shared" si="36"/>
        <v>0</v>
      </c>
      <c r="AG71" s="10" t="e">
        <f aca="true" t="shared" si="37" ref="AG71:AG86">AH71+AI71+AJ71+AK71</f>
        <v>#REF!</v>
      </c>
      <c r="AH71" s="11" t="e">
        <f>#REF!-S71</f>
        <v>#REF!</v>
      </c>
      <c r="AI71" s="11" t="e">
        <f>#REF!-T71</f>
        <v>#REF!</v>
      </c>
      <c r="AJ71" s="11" t="e">
        <f>#REF!-U71</f>
        <v>#REF!</v>
      </c>
      <c r="AK71" s="11" t="e">
        <f>#REF!-V71</f>
        <v>#REF!</v>
      </c>
    </row>
    <row r="72" spans="1:37" s="28" customFormat="1" ht="31.5" customHeight="1">
      <c r="A72" s="85">
        <v>55</v>
      </c>
      <c r="B72" s="27" t="s">
        <v>106</v>
      </c>
      <c r="C72" s="134"/>
      <c r="D72" s="134"/>
      <c r="E72" s="134"/>
      <c r="F72" s="134"/>
      <c r="G72" s="134"/>
      <c r="H72" s="37">
        <f t="shared" si="32"/>
        <v>4485.227</v>
      </c>
      <c r="I72" s="11"/>
      <c r="J72" s="11">
        <f>945.227+3240</f>
        <v>4185.227</v>
      </c>
      <c r="K72" s="11"/>
      <c r="L72" s="49">
        <v>300</v>
      </c>
      <c r="M72" s="46"/>
      <c r="N72" s="46"/>
      <c r="O72" s="46"/>
      <c r="P72" s="46"/>
      <c r="Q72" s="46"/>
      <c r="R72" s="11">
        <f t="shared" si="33"/>
        <v>4485.227</v>
      </c>
      <c r="S72" s="11"/>
      <c r="T72" s="11">
        <f>316.8301+748.49435+131.00612+562.7086+1480.96083+945.227</f>
        <v>4185.227</v>
      </c>
      <c r="U72" s="11"/>
      <c r="V72" s="11">
        <v>300</v>
      </c>
      <c r="W72" s="11">
        <f t="shared" si="34"/>
        <v>716.279</v>
      </c>
      <c r="X72" s="11"/>
      <c r="Y72" s="11">
        <v>637.30324</v>
      </c>
      <c r="Z72" s="11"/>
      <c r="AA72" s="11">
        <v>78.97576</v>
      </c>
      <c r="AB72" s="11">
        <f t="shared" si="35"/>
        <v>5201.506</v>
      </c>
      <c r="AC72" s="11">
        <f t="shared" si="36"/>
        <v>0</v>
      </c>
      <c r="AD72" s="11">
        <f t="shared" si="36"/>
        <v>4822.53024</v>
      </c>
      <c r="AE72" s="11">
        <f t="shared" si="36"/>
        <v>0</v>
      </c>
      <c r="AF72" s="11">
        <f t="shared" si="36"/>
        <v>378.97576</v>
      </c>
      <c r="AG72" s="10" t="e">
        <f t="shared" si="37"/>
        <v>#REF!</v>
      </c>
      <c r="AH72" s="11" t="e">
        <f>#REF!-S72</f>
        <v>#REF!</v>
      </c>
      <c r="AI72" s="11" t="e">
        <f>#REF!-T72</f>
        <v>#REF!</v>
      </c>
      <c r="AJ72" s="11" t="e">
        <f>#REF!-U72</f>
        <v>#REF!</v>
      </c>
      <c r="AK72" s="11" t="e">
        <f>#REF!-V72</f>
        <v>#REF!</v>
      </c>
    </row>
    <row r="73" spans="1:37" s="28" customFormat="1" ht="20.25" customHeight="1" hidden="1">
      <c r="A73" s="85"/>
      <c r="B73" s="27" t="s">
        <v>107</v>
      </c>
      <c r="C73" s="134"/>
      <c r="D73" s="134"/>
      <c r="E73" s="134"/>
      <c r="F73" s="134"/>
      <c r="G73" s="134"/>
      <c r="H73" s="37">
        <f t="shared" si="32"/>
        <v>0</v>
      </c>
      <c r="I73" s="11"/>
      <c r="J73" s="11"/>
      <c r="K73" s="11"/>
      <c r="L73" s="49"/>
      <c r="M73" s="46"/>
      <c r="N73" s="46"/>
      <c r="O73" s="46"/>
      <c r="P73" s="46"/>
      <c r="Q73" s="46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>
        <f t="shared" si="35"/>
        <v>0</v>
      </c>
      <c r="AC73" s="11">
        <f t="shared" si="36"/>
        <v>0</v>
      </c>
      <c r="AD73" s="11">
        <f t="shared" si="36"/>
        <v>0</v>
      </c>
      <c r="AE73" s="11">
        <f t="shared" si="36"/>
        <v>0</v>
      </c>
      <c r="AF73" s="11">
        <f t="shared" si="36"/>
        <v>0</v>
      </c>
      <c r="AG73" s="10" t="e">
        <f t="shared" si="37"/>
        <v>#REF!</v>
      </c>
      <c r="AH73" s="11" t="e">
        <f>#REF!-S73</f>
        <v>#REF!</v>
      </c>
      <c r="AI73" s="11" t="e">
        <f>#REF!-T73</f>
        <v>#REF!</v>
      </c>
      <c r="AJ73" s="11" t="e">
        <f>#REF!-U73</f>
        <v>#REF!</v>
      </c>
      <c r="AK73" s="11" t="e">
        <f>#REF!-V73</f>
        <v>#REF!</v>
      </c>
    </row>
    <row r="74" spans="1:37" s="28" customFormat="1" ht="20.25" customHeight="1">
      <c r="A74" s="9">
        <v>56</v>
      </c>
      <c r="B74" s="27" t="s">
        <v>108</v>
      </c>
      <c r="C74" s="134"/>
      <c r="D74" s="134"/>
      <c r="E74" s="134"/>
      <c r="F74" s="134"/>
      <c r="G74" s="134"/>
      <c r="H74" s="37">
        <f t="shared" si="32"/>
        <v>1200.212</v>
      </c>
      <c r="I74" s="11"/>
      <c r="J74" s="11">
        <f>642.648+557.564</f>
        <v>1200.212</v>
      </c>
      <c r="K74" s="11"/>
      <c r="L74" s="49"/>
      <c r="M74" s="46"/>
      <c r="N74" s="46"/>
      <c r="O74" s="46"/>
      <c r="P74" s="46"/>
      <c r="Q74" s="46"/>
      <c r="R74" s="11">
        <f t="shared" si="33"/>
        <v>1061.452</v>
      </c>
      <c r="S74" s="11"/>
      <c r="T74" s="11">
        <f>1061.452</f>
        <v>1061.452</v>
      </c>
      <c r="U74" s="11"/>
      <c r="V74" s="11"/>
      <c r="W74" s="11">
        <f t="shared" si="34"/>
        <v>55.9</v>
      </c>
      <c r="X74" s="11"/>
      <c r="Y74" s="11">
        <v>55.9</v>
      </c>
      <c r="Z74" s="11"/>
      <c r="AA74" s="11"/>
      <c r="AB74" s="11">
        <f t="shared" si="35"/>
        <v>1117.352</v>
      </c>
      <c r="AC74" s="11">
        <f t="shared" si="36"/>
        <v>0</v>
      </c>
      <c r="AD74" s="11">
        <f t="shared" si="36"/>
        <v>1117.352</v>
      </c>
      <c r="AE74" s="11">
        <f t="shared" si="36"/>
        <v>0</v>
      </c>
      <c r="AF74" s="11">
        <f t="shared" si="36"/>
        <v>0</v>
      </c>
      <c r="AG74" s="10" t="e">
        <f t="shared" si="37"/>
        <v>#REF!</v>
      </c>
      <c r="AH74" s="11" t="e">
        <f>#REF!-S74</f>
        <v>#REF!</v>
      </c>
      <c r="AI74" s="11" t="e">
        <f>#REF!-T74</f>
        <v>#REF!</v>
      </c>
      <c r="AJ74" s="11" t="e">
        <f>#REF!-U74</f>
        <v>#REF!</v>
      </c>
      <c r="AK74" s="11" t="e">
        <f>#REF!-V74</f>
        <v>#REF!</v>
      </c>
    </row>
    <row r="75" spans="1:37" s="28" customFormat="1" ht="20.25" customHeight="1">
      <c r="A75" s="85">
        <v>57</v>
      </c>
      <c r="B75" s="27" t="s">
        <v>109</v>
      </c>
      <c r="C75" s="134"/>
      <c r="D75" s="134"/>
      <c r="E75" s="134"/>
      <c r="F75" s="134"/>
      <c r="G75" s="134"/>
      <c r="H75" s="37">
        <f t="shared" si="32"/>
        <v>4409.448</v>
      </c>
      <c r="I75" s="11"/>
      <c r="J75" s="11"/>
      <c r="K75" s="11">
        <v>4409.448</v>
      </c>
      <c r="L75" s="49"/>
      <c r="M75" s="46"/>
      <c r="N75" s="46"/>
      <c r="O75" s="46"/>
      <c r="P75" s="46"/>
      <c r="Q75" s="46"/>
      <c r="R75" s="11">
        <f t="shared" si="33"/>
        <v>3240.9379999999996</v>
      </c>
      <c r="S75" s="11"/>
      <c r="T75" s="11"/>
      <c r="U75" s="11">
        <f>1330.866+1320.704+589.368</f>
        <v>3240.9379999999996</v>
      </c>
      <c r="V75" s="11"/>
      <c r="W75" s="11">
        <f t="shared" si="34"/>
        <v>170.57737</v>
      </c>
      <c r="X75" s="11"/>
      <c r="Y75" s="11"/>
      <c r="Z75" s="11">
        <v>170.57737</v>
      </c>
      <c r="AA75" s="11"/>
      <c r="AB75" s="11">
        <f t="shared" si="35"/>
        <v>3411.5153699999996</v>
      </c>
      <c r="AC75" s="11">
        <f t="shared" si="36"/>
        <v>0</v>
      </c>
      <c r="AD75" s="11">
        <f t="shared" si="36"/>
        <v>0</v>
      </c>
      <c r="AE75" s="11">
        <f t="shared" si="36"/>
        <v>3411.5153699999996</v>
      </c>
      <c r="AF75" s="11">
        <f t="shared" si="36"/>
        <v>0</v>
      </c>
      <c r="AG75" s="10" t="e">
        <f t="shared" si="37"/>
        <v>#REF!</v>
      </c>
      <c r="AH75" s="11" t="e">
        <f>#REF!-S75</f>
        <v>#REF!</v>
      </c>
      <c r="AI75" s="11" t="e">
        <f>#REF!-T75</f>
        <v>#REF!</v>
      </c>
      <c r="AJ75" s="11" t="e">
        <f>#REF!-U75</f>
        <v>#REF!</v>
      </c>
      <c r="AK75" s="11" t="e">
        <f>#REF!-V75</f>
        <v>#REF!</v>
      </c>
    </row>
    <row r="76" spans="1:37" s="28" customFormat="1" ht="20.25" customHeight="1" hidden="1">
      <c r="A76" s="85"/>
      <c r="B76" s="27" t="s">
        <v>110</v>
      </c>
      <c r="C76" s="134"/>
      <c r="D76" s="134"/>
      <c r="E76" s="134"/>
      <c r="F76" s="134"/>
      <c r="G76" s="134"/>
      <c r="H76" s="37">
        <f t="shared" si="32"/>
        <v>0</v>
      </c>
      <c r="I76" s="11"/>
      <c r="J76" s="11"/>
      <c r="K76" s="11"/>
      <c r="L76" s="49"/>
      <c r="M76" s="46"/>
      <c r="N76" s="46"/>
      <c r="O76" s="46"/>
      <c r="P76" s="46"/>
      <c r="Q76" s="46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>
        <f t="shared" si="35"/>
        <v>0</v>
      </c>
      <c r="AC76" s="11">
        <f t="shared" si="36"/>
        <v>0</v>
      </c>
      <c r="AD76" s="11">
        <f t="shared" si="36"/>
        <v>0</v>
      </c>
      <c r="AE76" s="11">
        <f t="shared" si="36"/>
        <v>0</v>
      </c>
      <c r="AF76" s="11">
        <f t="shared" si="36"/>
        <v>0</v>
      </c>
      <c r="AG76" s="10" t="e">
        <f t="shared" si="37"/>
        <v>#REF!</v>
      </c>
      <c r="AH76" s="11" t="e">
        <f>#REF!-S76</f>
        <v>#REF!</v>
      </c>
      <c r="AI76" s="11" t="e">
        <f>#REF!-T76</f>
        <v>#REF!</v>
      </c>
      <c r="AJ76" s="11" t="e">
        <f>#REF!-U76</f>
        <v>#REF!</v>
      </c>
      <c r="AK76" s="11" t="e">
        <f>#REF!-V76</f>
        <v>#REF!</v>
      </c>
    </row>
    <row r="77" spans="1:37" s="28" customFormat="1" ht="20.25" customHeight="1">
      <c r="A77" s="85">
        <v>58</v>
      </c>
      <c r="B77" s="27" t="s">
        <v>111</v>
      </c>
      <c r="C77" s="134"/>
      <c r="D77" s="134"/>
      <c r="E77" s="134"/>
      <c r="F77" s="134"/>
      <c r="G77" s="134"/>
      <c r="H77" s="37">
        <f t="shared" si="32"/>
        <v>1508.505</v>
      </c>
      <c r="I77" s="11"/>
      <c r="J77" s="11">
        <f>861.886+646.619</f>
        <v>1508.505</v>
      </c>
      <c r="K77" s="11"/>
      <c r="L77" s="49"/>
      <c r="M77" s="46"/>
      <c r="N77" s="46"/>
      <c r="O77" s="46"/>
      <c r="P77" s="46"/>
      <c r="Q77" s="46"/>
      <c r="R77" s="11">
        <f t="shared" si="33"/>
        <v>1508.505</v>
      </c>
      <c r="S77" s="11"/>
      <c r="T77" s="11">
        <f>646.619+861.886</f>
        <v>1508.505</v>
      </c>
      <c r="U77" s="11"/>
      <c r="V77" s="11"/>
      <c r="W77" s="11">
        <f t="shared" si="34"/>
        <v>266.17907</v>
      </c>
      <c r="X77" s="11"/>
      <c r="Y77" s="11">
        <v>266.17907</v>
      </c>
      <c r="Z77" s="11"/>
      <c r="AA77" s="11"/>
      <c r="AB77" s="11">
        <f t="shared" si="35"/>
        <v>1774.6840700000002</v>
      </c>
      <c r="AC77" s="11">
        <f t="shared" si="36"/>
        <v>0</v>
      </c>
      <c r="AD77" s="11">
        <f t="shared" si="36"/>
        <v>1774.6840700000002</v>
      </c>
      <c r="AE77" s="11">
        <f t="shared" si="36"/>
        <v>0</v>
      </c>
      <c r="AF77" s="11">
        <f t="shared" si="36"/>
        <v>0</v>
      </c>
      <c r="AG77" s="10" t="e">
        <f t="shared" si="37"/>
        <v>#REF!</v>
      </c>
      <c r="AH77" s="11" t="e">
        <f>#REF!-S77</f>
        <v>#REF!</v>
      </c>
      <c r="AI77" s="11" t="e">
        <f>#REF!-T77</f>
        <v>#REF!</v>
      </c>
      <c r="AJ77" s="11" t="e">
        <f>#REF!-U77</f>
        <v>#REF!</v>
      </c>
      <c r="AK77" s="11" t="e">
        <f>#REF!-V77</f>
        <v>#REF!</v>
      </c>
    </row>
    <row r="78" spans="1:37" s="28" customFormat="1" ht="20.25" customHeight="1">
      <c r="A78" s="85">
        <v>59</v>
      </c>
      <c r="B78" s="27" t="s">
        <v>112</v>
      </c>
      <c r="C78" s="134"/>
      <c r="D78" s="134"/>
      <c r="E78" s="134"/>
      <c r="F78" s="134"/>
      <c r="G78" s="134"/>
      <c r="H78" s="37">
        <f t="shared" si="32"/>
        <v>2640.891</v>
      </c>
      <c r="I78" s="11"/>
      <c r="J78" s="11">
        <v>1867.071</v>
      </c>
      <c r="K78" s="11"/>
      <c r="L78" s="49">
        <v>773.82</v>
      </c>
      <c r="M78" s="46"/>
      <c r="N78" s="46"/>
      <c r="O78" s="46"/>
      <c r="P78" s="46"/>
      <c r="Q78" s="46"/>
      <c r="R78" s="11">
        <f t="shared" si="33"/>
        <v>2163.002</v>
      </c>
      <c r="S78" s="11"/>
      <c r="T78" s="11">
        <f>875.058+711.89</f>
        <v>1586.9479999999999</v>
      </c>
      <c r="U78" s="11"/>
      <c r="V78" s="11">
        <f>576.054</f>
        <v>576.054</v>
      </c>
      <c r="W78" s="11">
        <f t="shared" si="34"/>
        <v>213.87512</v>
      </c>
      <c r="X78" s="11"/>
      <c r="Y78" s="11">
        <v>183.55645</v>
      </c>
      <c r="Z78" s="11"/>
      <c r="AA78" s="11">
        <v>30.31867</v>
      </c>
      <c r="AB78" s="11">
        <f t="shared" si="35"/>
        <v>2376.87712</v>
      </c>
      <c r="AC78" s="11">
        <f t="shared" si="36"/>
        <v>0</v>
      </c>
      <c r="AD78" s="11">
        <f t="shared" si="36"/>
        <v>1770.50445</v>
      </c>
      <c r="AE78" s="11">
        <f t="shared" si="36"/>
        <v>0</v>
      </c>
      <c r="AF78" s="11">
        <f t="shared" si="36"/>
        <v>606.37267</v>
      </c>
      <c r="AG78" s="10" t="e">
        <f t="shared" si="37"/>
        <v>#REF!</v>
      </c>
      <c r="AH78" s="11" t="e">
        <f>#REF!-S78</f>
        <v>#REF!</v>
      </c>
      <c r="AI78" s="11" t="e">
        <f>#REF!-T78</f>
        <v>#REF!</v>
      </c>
      <c r="AJ78" s="11" t="e">
        <f>#REF!-U78</f>
        <v>#REF!</v>
      </c>
      <c r="AK78" s="11" t="e">
        <f>#REF!-V78</f>
        <v>#REF!</v>
      </c>
    </row>
    <row r="79" spans="1:37" s="28" customFormat="1" ht="20.25" customHeight="1">
      <c r="A79" s="85">
        <v>60</v>
      </c>
      <c r="B79" s="27" t="s">
        <v>113</v>
      </c>
      <c r="C79" s="134"/>
      <c r="D79" s="134"/>
      <c r="E79" s="134"/>
      <c r="F79" s="134"/>
      <c r="G79" s="134"/>
      <c r="H79" s="37">
        <f t="shared" si="32"/>
        <v>4011.547</v>
      </c>
      <c r="I79" s="11"/>
      <c r="J79" s="11">
        <v>3147.965</v>
      </c>
      <c r="K79" s="11"/>
      <c r="L79" s="49">
        <v>863.582</v>
      </c>
      <c r="M79" s="46"/>
      <c r="N79" s="46"/>
      <c r="O79" s="46"/>
      <c r="P79" s="46"/>
      <c r="Q79" s="46"/>
      <c r="R79" s="11">
        <f t="shared" si="33"/>
        <v>3872.652</v>
      </c>
      <c r="S79" s="11"/>
      <c r="T79" s="11">
        <f>636.677+2420.718</f>
        <v>3057.395</v>
      </c>
      <c r="U79" s="11"/>
      <c r="V79" s="11">
        <f>815.257</f>
        <v>815.257</v>
      </c>
      <c r="W79" s="11">
        <f t="shared" si="34"/>
        <v>203.88034</v>
      </c>
      <c r="X79" s="11"/>
      <c r="Y79" s="11">
        <v>160.91734</v>
      </c>
      <c r="Z79" s="11"/>
      <c r="AA79" s="11">
        <v>42.963</v>
      </c>
      <c r="AB79" s="11">
        <f t="shared" si="35"/>
        <v>4076.5323399999997</v>
      </c>
      <c r="AC79" s="11">
        <f t="shared" si="36"/>
        <v>0</v>
      </c>
      <c r="AD79" s="11">
        <f t="shared" si="36"/>
        <v>3218.31234</v>
      </c>
      <c r="AE79" s="11">
        <f t="shared" si="36"/>
        <v>0</v>
      </c>
      <c r="AF79" s="11">
        <f t="shared" si="36"/>
        <v>858.2199999999999</v>
      </c>
      <c r="AG79" s="10" t="e">
        <f t="shared" si="37"/>
        <v>#REF!</v>
      </c>
      <c r="AH79" s="11" t="e">
        <f>#REF!-S79</f>
        <v>#REF!</v>
      </c>
      <c r="AI79" s="11" t="e">
        <f>#REF!-T79</f>
        <v>#REF!</v>
      </c>
      <c r="AJ79" s="11" t="e">
        <f>#REF!-U79</f>
        <v>#REF!</v>
      </c>
      <c r="AK79" s="11" t="e">
        <f>#REF!-V79</f>
        <v>#REF!</v>
      </c>
    </row>
    <row r="80" spans="1:37" s="28" customFormat="1" ht="20.25" customHeight="1">
      <c r="A80" s="85">
        <v>61</v>
      </c>
      <c r="B80" s="27" t="s">
        <v>114</v>
      </c>
      <c r="C80" s="134"/>
      <c r="D80" s="134"/>
      <c r="E80" s="134"/>
      <c r="F80" s="134"/>
      <c r="G80" s="134"/>
      <c r="H80" s="37">
        <f t="shared" si="32"/>
        <v>0</v>
      </c>
      <c r="I80" s="11"/>
      <c r="J80" s="11"/>
      <c r="K80" s="11"/>
      <c r="L80" s="49"/>
      <c r="M80" s="46"/>
      <c r="N80" s="46"/>
      <c r="O80" s="46"/>
      <c r="P80" s="46"/>
      <c r="Q80" s="46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>
        <f t="shared" si="35"/>
        <v>0</v>
      </c>
      <c r="AC80" s="11">
        <f t="shared" si="36"/>
        <v>0</v>
      </c>
      <c r="AD80" s="11">
        <f t="shared" si="36"/>
        <v>0</v>
      </c>
      <c r="AE80" s="11">
        <f t="shared" si="36"/>
        <v>0</v>
      </c>
      <c r="AF80" s="11">
        <f t="shared" si="36"/>
        <v>0</v>
      </c>
      <c r="AG80" s="10" t="e">
        <f t="shared" si="37"/>
        <v>#REF!</v>
      </c>
      <c r="AH80" s="11" t="e">
        <f>#REF!-S80</f>
        <v>#REF!</v>
      </c>
      <c r="AI80" s="11" t="e">
        <f>#REF!-T80</f>
        <v>#REF!</v>
      </c>
      <c r="AJ80" s="11" t="e">
        <f>#REF!-U80</f>
        <v>#REF!</v>
      </c>
      <c r="AK80" s="11" t="e">
        <f>#REF!-V80</f>
        <v>#REF!</v>
      </c>
    </row>
    <row r="81" spans="1:37" s="28" customFormat="1" ht="20.25" customHeight="1">
      <c r="A81" s="85">
        <v>62</v>
      </c>
      <c r="B81" s="27" t="s">
        <v>115</v>
      </c>
      <c r="C81" s="134"/>
      <c r="D81" s="134"/>
      <c r="E81" s="134"/>
      <c r="F81" s="134"/>
      <c r="G81" s="134"/>
      <c r="H81" s="37">
        <f t="shared" si="32"/>
        <v>1946.941</v>
      </c>
      <c r="I81" s="11"/>
      <c r="J81" s="11">
        <v>1946.941</v>
      </c>
      <c r="K81" s="11"/>
      <c r="L81" s="49"/>
      <c r="M81" s="46"/>
      <c r="N81" s="46"/>
      <c r="O81" s="46"/>
      <c r="P81" s="46"/>
      <c r="Q81" s="46"/>
      <c r="R81" s="11">
        <f t="shared" si="33"/>
        <v>0</v>
      </c>
      <c r="S81" s="11"/>
      <c r="T81" s="11">
        <v>0</v>
      </c>
      <c r="U81" s="11"/>
      <c r="V81" s="11"/>
      <c r="W81" s="11">
        <f t="shared" si="34"/>
        <v>0</v>
      </c>
      <c r="X81" s="11"/>
      <c r="Y81" s="11">
        <v>0</v>
      </c>
      <c r="Z81" s="11"/>
      <c r="AA81" s="11"/>
      <c r="AB81" s="11">
        <f t="shared" si="35"/>
        <v>0</v>
      </c>
      <c r="AC81" s="11">
        <f t="shared" si="36"/>
        <v>0</v>
      </c>
      <c r="AD81" s="11">
        <f t="shared" si="36"/>
        <v>0</v>
      </c>
      <c r="AE81" s="11">
        <f t="shared" si="36"/>
        <v>0</v>
      </c>
      <c r="AF81" s="11">
        <f t="shared" si="36"/>
        <v>0</v>
      </c>
      <c r="AG81" s="10" t="e">
        <f t="shared" si="37"/>
        <v>#REF!</v>
      </c>
      <c r="AH81" s="11" t="e">
        <f>#REF!-S81</f>
        <v>#REF!</v>
      </c>
      <c r="AI81" s="11" t="e">
        <f>#REF!-T81</f>
        <v>#REF!</v>
      </c>
      <c r="AJ81" s="11" t="e">
        <f>#REF!-U81</f>
        <v>#REF!</v>
      </c>
      <c r="AK81" s="11" t="e">
        <f>#REF!-V81</f>
        <v>#REF!</v>
      </c>
    </row>
    <row r="82" spans="1:37" s="28" customFormat="1" ht="20.25" customHeight="1">
      <c r="A82" s="85">
        <v>63</v>
      </c>
      <c r="B82" s="27" t="s">
        <v>116</v>
      </c>
      <c r="C82" s="134"/>
      <c r="D82" s="134"/>
      <c r="E82" s="134"/>
      <c r="F82" s="134"/>
      <c r="G82" s="134"/>
      <c r="H82" s="37">
        <f t="shared" si="32"/>
        <v>5423.697</v>
      </c>
      <c r="I82" s="11">
        <f>2865-143.2</f>
        <v>2721.8</v>
      </c>
      <c r="J82" s="11">
        <v>2701.897</v>
      </c>
      <c r="K82" s="11"/>
      <c r="L82" s="49"/>
      <c r="M82" s="46"/>
      <c r="N82" s="46"/>
      <c r="O82" s="46"/>
      <c r="P82" s="46"/>
      <c r="Q82" s="46"/>
      <c r="R82" s="11">
        <f t="shared" si="33"/>
        <v>2701.897</v>
      </c>
      <c r="S82" s="11"/>
      <c r="T82" s="11">
        <v>2701.897</v>
      </c>
      <c r="U82" s="11"/>
      <c r="V82" s="11"/>
      <c r="W82" s="11">
        <f t="shared" si="34"/>
        <v>1052.34338</v>
      </c>
      <c r="X82" s="11"/>
      <c r="Y82" s="11">
        <v>1052.34338</v>
      </c>
      <c r="Z82" s="11"/>
      <c r="AA82" s="11"/>
      <c r="AB82" s="11">
        <f t="shared" si="35"/>
        <v>3754.24038</v>
      </c>
      <c r="AC82" s="11">
        <f t="shared" si="36"/>
        <v>0</v>
      </c>
      <c r="AD82" s="11">
        <f t="shared" si="36"/>
        <v>3754.24038</v>
      </c>
      <c r="AE82" s="11">
        <f t="shared" si="36"/>
        <v>0</v>
      </c>
      <c r="AF82" s="11">
        <f t="shared" si="36"/>
        <v>0</v>
      </c>
      <c r="AG82" s="10" t="e">
        <f t="shared" si="37"/>
        <v>#REF!</v>
      </c>
      <c r="AH82" s="11" t="e">
        <f>#REF!-S82</f>
        <v>#REF!</v>
      </c>
      <c r="AI82" s="11" t="e">
        <f>#REF!-T82</f>
        <v>#REF!</v>
      </c>
      <c r="AJ82" s="11" t="e">
        <f>#REF!-U82</f>
        <v>#REF!</v>
      </c>
      <c r="AK82" s="11" t="e">
        <f>#REF!-V82</f>
        <v>#REF!</v>
      </c>
    </row>
    <row r="83" spans="1:37" s="28" customFormat="1" ht="20.25" customHeight="1">
      <c r="A83" s="85">
        <v>64</v>
      </c>
      <c r="B83" s="27" t="s">
        <v>117</v>
      </c>
      <c r="C83" s="134"/>
      <c r="D83" s="134"/>
      <c r="E83" s="134"/>
      <c r="F83" s="134"/>
      <c r="G83" s="134"/>
      <c r="H83" s="37">
        <f t="shared" si="32"/>
        <v>2332.463</v>
      </c>
      <c r="I83" s="11"/>
      <c r="J83" s="11"/>
      <c r="K83" s="11"/>
      <c r="L83" s="49">
        <f>125.614+2206.849</f>
        <v>2332.463</v>
      </c>
      <c r="M83" s="46"/>
      <c r="N83" s="46"/>
      <c r="O83" s="46"/>
      <c r="P83" s="46"/>
      <c r="Q83" s="46"/>
      <c r="R83" s="11">
        <f t="shared" si="33"/>
        <v>524.532</v>
      </c>
      <c r="S83" s="11"/>
      <c r="T83" s="11"/>
      <c r="U83" s="11"/>
      <c r="V83" s="11">
        <f>524.532</f>
        <v>524.532</v>
      </c>
      <c r="W83" s="11">
        <f t="shared" si="34"/>
        <v>27.60743</v>
      </c>
      <c r="X83" s="11"/>
      <c r="Y83" s="11"/>
      <c r="Z83" s="11"/>
      <c r="AA83" s="11">
        <v>27.60743</v>
      </c>
      <c r="AB83" s="11">
        <f t="shared" si="35"/>
        <v>552.1394300000001</v>
      </c>
      <c r="AC83" s="11">
        <f t="shared" si="36"/>
        <v>0</v>
      </c>
      <c r="AD83" s="11">
        <f t="shared" si="36"/>
        <v>0</v>
      </c>
      <c r="AE83" s="11">
        <f t="shared" si="36"/>
        <v>0</v>
      </c>
      <c r="AF83" s="11">
        <f t="shared" si="36"/>
        <v>552.1394300000001</v>
      </c>
      <c r="AG83" s="10" t="e">
        <f t="shared" si="37"/>
        <v>#REF!</v>
      </c>
      <c r="AH83" s="11" t="e">
        <f>#REF!-S83</f>
        <v>#REF!</v>
      </c>
      <c r="AI83" s="11" t="e">
        <f>#REF!-T83</f>
        <v>#REF!</v>
      </c>
      <c r="AJ83" s="11" t="e">
        <f>#REF!-U83</f>
        <v>#REF!</v>
      </c>
      <c r="AK83" s="11" t="e">
        <f>#REF!-V83</f>
        <v>#REF!</v>
      </c>
    </row>
    <row r="84" spans="1:37" s="28" customFormat="1" ht="22.5" customHeight="1">
      <c r="A84" s="85">
        <v>65</v>
      </c>
      <c r="B84" s="27" t="s">
        <v>118</v>
      </c>
      <c r="C84" s="134"/>
      <c r="D84" s="134"/>
      <c r="E84" s="134"/>
      <c r="F84" s="134"/>
      <c r="G84" s="134"/>
      <c r="H84" s="37">
        <f t="shared" si="32"/>
        <v>7339.103</v>
      </c>
      <c r="I84" s="11"/>
      <c r="J84" s="11">
        <v>3929.69</v>
      </c>
      <c r="K84" s="11"/>
      <c r="L84" s="49">
        <v>3409.413</v>
      </c>
      <c r="M84" s="46"/>
      <c r="N84" s="46"/>
      <c r="O84" s="46"/>
      <c r="P84" s="46"/>
      <c r="Q84" s="46"/>
      <c r="R84" s="11">
        <f t="shared" si="33"/>
        <v>7339.102999999999</v>
      </c>
      <c r="S84" s="11"/>
      <c r="T84" s="11">
        <f>818.927+3110.763</f>
        <v>3929.69</v>
      </c>
      <c r="U84" s="11"/>
      <c r="V84" s="11">
        <f>540.262+2869.151</f>
        <v>3409.4129999999996</v>
      </c>
      <c r="W84" s="11">
        <f t="shared" si="34"/>
        <v>1135.0487</v>
      </c>
      <c r="X84" s="11"/>
      <c r="Y84" s="11">
        <f>948.53232</f>
        <v>948.53232</v>
      </c>
      <c r="Z84" s="11"/>
      <c r="AA84" s="11">
        <v>186.51638</v>
      </c>
      <c r="AB84" s="11">
        <f t="shared" si="35"/>
        <v>8474.151699999999</v>
      </c>
      <c r="AC84" s="11">
        <f t="shared" si="36"/>
        <v>0</v>
      </c>
      <c r="AD84" s="11">
        <f t="shared" si="36"/>
        <v>4878.22232</v>
      </c>
      <c r="AE84" s="11">
        <f t="shared" si="36"/>
        <v>0</v>
      </c>
      <c r="AF84" s="11">
        <f t="shared" si="36"/>
        <v>3595.9293799999996</v>
      </c>
      <c r="AG84" s="10" t="e">
        <f t="shared" si="37"/>
        <v>#REF!</v>
      </c>
      <c r="AH84" s="11" t="e">
        <f>#REF!-S84</f>
        <v>#REF!</v>
      </c>
      <c r="AI84" s="11" t="e">
        <f>#REF!-T84</f>
        <v>#REF!</v>
      </c>
      <c r="AJ84" s="11" t="e">
        <f>#REF!-U84</f>
        <v>#REF!</v>
      </c>
      <c r="AK84" s="11" t="e">
        <f>#REF!-V84</f>
        <v>#REF!</v>
      </c>
    </row>
    <row r="85" spans="1:37" s="28" customFormat="1" ht="20.25" customHeight="1">
      <c r="A85" s="85">
        <v>66</v>
      </c>
      <c r="B85" s="27" t="s">
        <v>119</v>
      </c>
      <c r="C85" s="134"/>
      <c r="D85" s="134"/>
      <c r="E85" s="134"/>
      <c r="F85" s="134"/>
      <c r="G85" s="134"/>
      <c r="H85" s="37">
        <f t="shared" si="32"/>
        <v>3342.932</v>
      </c>
      <c r="I85" s="11"/>
      <c r="J85" s="11">
        <v>1789.962</v>
      </c>
      <c r="K85" s="11"/>
      <c r="L85" s="49">
        <v>1552.97</v>
      </c>
      <c r="M85" s="46"/>
      <c r="N85" s="46"/>
      <c r="O85" s="46"/>
      <c r="P85" s="46"/>
      <c r="Q85" s="46"/>
      <c r="R85" s="11">
        <f t="shared" si="33"/>
        <v>3206.112</v>
      </c>
      <c r="S85" s="11"/>
      <c r="T85" s="11">
        <v>1789.962</v>
      </c>
      <c r="U85" s="11"/>
      <c r="V85" s="11">
        <f>1416.15</f>
        <v>1416.15</v>
      </c>
      <c r="W85" s="11">
        <f t="shared" si="34"/>
        <v>697.6494799999999</v>
      </c>
      <c r="X85" s="11"/>
      <c r="Y85" s="11">
        <v>623.06382</v>
      </c>
      <c r="Z85" s="11"/>
      <c r="AA85" s="11">
        <v>74.58566</v>
      </c>
      <c r="AB85" s="11">
        <f t="shared" si="35"/>
        <v>3903.76148</v>
      </c>
      <c r="AC85" s="11">
        <f t="shared" si="36"/>
        <v>0</v>
      </c>
      <c r="AD85" s="11">
        <f t="shared" si="36"/>
        <v>2413.02582</v>
      </c>
      <c r="AE85" s="11">
        <f t="shared" si="36"/>
        <v>0</v>
      </c>
      <c r="AF85" s="11">
        <f t="shared" si="36"/>
        <v>1490.73566</v>
      </c>
      <c r="AG85" s="10" t="e">
        <f t="shared" si="37"/>
        <v>#REF!</v>
      </c>
      <c r="AH85" s="11" t="e">
        <f>#REF!-S85</f>
        <v>#REF!</v>
      </c>
      <c r="AI85" s="11" t="e">
        <f>#REF!-T85</f>
        <v>#REF!</v>
      </c>
      <c r="AJ85" s="11" t="e">
        <f>#REF!-U85</f>
        <v>#REF!</v>
      </c>
      <c r="AK85" s="11" t="e">
        <f>#REF!-V85</f>
        <v>#REF!</v>
      </c>
    </row>
    <row r="86" spans="1:37" s="28" customFormat="1" ht="20.25" customHeight="1">
      <c r="A86" s="85">
        <v>67</v>
      </c>
      <c r="B86" s="27" t="s">
        <v>120</v>
      </c>
      <c r="C86" s="134"/>
      <c r="D86" s="134"/>
      <c r="E86" s="134"/>
      <c r="F86" s="134"/>
      <c r="G86" s="134"/>
      <c r="H86" s="37">
        <f t="shared" si="32"/>
        <v>1471.3310000000001</v>
      </c>
      <c r="I86" s="11"/>
      <c r="J86" s="11">
        <v>787.818</v>
      </c>
      <c r="K86" s="11"/>
      <c r="L86" s="49">
        <v>683.513</v>
      </c>
      <c r="M86" s="46"/>
      <c r="N86" s="46"/>
      <c r="O86" s="46"/>
      <c r="P86" s="46"/>
      <c r="Q86" s="46"/>
      <c r="R86" s="11">
        <f t="shared" si="33"/>
        <v>1471.3310000000001</v>
      </c>
      <c r="S86" s="11"/>
      <c r="T86" s="11">
        <v>787.818</v>
      </c>
      <c r="U86" s="11"/>
      <c r="V86" s="11">
        <v>683.513</v>
      </c>
      <c r="W86" s="11">
        <f t="shared" si="34"/>
        <v>1696.33063</v>
      </c>
      <c r="X86" s="11"/>
      <c r="Y86" s="11">
        <v>92.86897</v>
      </c>
      <c r="Z86" s="11"/>
      <c r="AA86" s="11">
        <v>1603.46166</v>
      </c>
      <c r="AB86" s="11">
        <f t="shared" si="35"/>
        <v>3167.6616299999996</v>
      </c>
      <c r="AC86" s="11">
        <f t="shared" si="36"/>
        <v>0</v>
      </c>
      <c r="AD86" s="11">
        <f t="shared" si="36"/>
        <v>880.68697</v>
      </c>
      <c r="AE86" s="11">
        <f t="shared" si="36"/>
        <v>0</v>
      </c>
      <c r="AF86" s="11">
        <f t="shared" si="36"/>
        <v>2286.97466</v>
      </c>
      <c r="AG86" s="10" t="e">
        <f t="shared" si="37"/>
        <v>#REF!</v>
      </c>
      <c r="AH86" s="11" t="e">
        <f>#REF!-S86</f>
        <v>#REF!</v>
      </c>
      <c r="AI86" s="11" t="e">
        <f>#REF!-T86</f>
        <v>#REF!</v>
      </c>
      <c r="AJ86" s="11" t="e">
        <f>#REF!-U86</f>
        <v>#REF!</v>
      </c>
      <c r="AK86" s="11" t="e">
        <f>#REF!-V86</f>
        <v>#REF!</v>
      </c>
    </row>
    <row r="87" spans="1:37" s="28" customFormat="1" ht="20.25" customHeight="1">
      <c r="A87" s="4"/>
      <c r="B87" s="1" t="s">
        <v>21</v>
      </c>
      <c r="C87" s="132"/>
      <c r="D87" s="132"/>
      <c r="E87" s="132"/>
      <c r="F87" s="132"/>
      <c r="G87" s="132"/>
      <c r="H87" s="39">
        <f>SUM(H88:H92)</f>
        <v>51298.962</v>
      </c>
      <c r="I87" s="7">
        <f>SUM(I88:I92)</f>
        <v>7500.982</v>
      </c>
      <c r="J87" s="7">
        <f>SUM(J88:J92)</f>
        <v>3932.5660000000003</v>
      </c>
      <c r="K87" s="7">
        <f>SUM(K88:K92)</f>
        <v>39865.414</v>
      </c>
      <c r="L87" s="40">
        <f>SUM(L88:L90)</f>
        <v>0</v>
      </c>
      <c r="M87" s="41"/>
      <c r="N87" s="41"/>
      <c r="O87" s="41"/>
      <c r="P87" s="41"/>
      <c r="Q87" s="41"/>
      <c r="R87" s="7">
        <f aca="true" t="shared" si="38" ref="R87:AK87">SUM(R88:R92)</f>
        <v>36161.455</v>
      </c>
      <c r="S87" s="7">
        <f t="shared" si="38"/>
        <v>7500.982</v>
      </c>
      <c r="T87" s="7">
        <f t="shared" si="38"/>
        <v>3932.5660000000003</v>
      </c>
      <c r="U87" s="7">
        <f t="shared" si="38"/>
        <v>24727.907</v>
      </c>
      <c r="V87" s="7">
        <f t="shared" si="38"/>
        <v>0</v>
      </c>
      <c r="W87" s="7">
        <f t="shared" si="38"/>
        <v>3070.6783499999997</v>
      </c>
      <c r="X87" s="7">
        <f t="shared" si="38"/>
        <v>533.96528</v>
      </c>
      <c r="Y87" s="7">
        <f t="shared" si="38"/>
        <v>1337.41607</v>
      </c>
      <c r="Z87" s="7">
        <f t="shared" si="38"/>
        <v>1199.297</v>
      </c>
      <c r="AA87" s="7">
        <f t="shared" si="38"/>
        <v>0</v>
      </c>
      <c r="AB87" s="7">
        <f t="shared" si="38"/>
        <v>39232.13335</v>
      </c>
      <c r="AC87" s="7">
        <f t="shared" si="38"/>
        <v>8034.94728</v>
      </c>
      <c r="AD87" s="7">
        <f t="shared" si="38"/>
        <v>5269.98207</v>
      </c>
      <c r="AE87" s="7">
        <f t="shared" si="38"/>
        <v>25927.203999999998</v>
      </c>
      <c r="AF87" s="7">
        <f t="shared" si="38"/>
        <v>0</v>
      </c>
      <c r="AG87" s="20" t="e">
        <f t="shared" si="38"/>
        <v>#REF!</v>
      </c>
      <c r="AH87" s="7" t="e">
        <f t="shared" si="38"/>
        <v>#REF!</v>
      </c>
      <c r="AI87" s="7" t="e">
        <f t="shared" si="38"/>
        <v>#REF!</v>
      </c>
      <c r="AJ87" s="7" t="e">
        <f t="shared" si="38"/>
        <v>#REF!</v>
      </c>
      <c r="AK87" s="7" t="e">
        <f t="shared" si="38"/>
        <v>#REF!</v>
      </c>
    </row>
    <row r="88" spans="1:37" s="28" customFormat="1" ht="20.25" customHeight="1">
      <c r="A88" s="85">
        <v>68</v>
      </c>
      <c r="B88" s="77" t="s">
        <v>5</v>
      </c>
      <c r="C88" s="138"/>
      <c r="D88" s="138"/>
      <c r="E88" s="138"/>
      <c r="F88" s="138"/>
      <c r="G88" s="138"/>
      <c r="H88" s="37">
        <f>I88+J88+K88+L88</f>
        <v>7939.77</v>
      </c>
      <c r="I88" s="11">
        <v>7500.982</v>
      </c>
      <c r="J88" s="11">
        <v>438.788</v>
      </c>
      <c r="K88" s="11"/>
      <c r="L88" s="49"/>
      <c r="M88" s="46"/>
      <c r="N88" s="46"/>
      <c r="O88" s="46"/>
      <c r="P88" s="46"/>
      <c r="Q88" s="46"/>
      <c r="R88" s="11">
        <f>S88+T88+U88+V88</f>
        <v>7939.77</v>
      </c>
      <c r="S88" s="11">
        <f>7500.982</f>
        <v>7500.982</v>
      </c>
      <c r="T88" s="11">
        <f>438.788</f>
        <v>438.788</v>
      </c>
      <c r="U88" s="11"/>
      <c r="V88" s="11"/>
      <c r="W88" s="11">
        <f>X88+Y88+Z88+AA88</f>
        <v>1548.48025</v>
      </c>
      <c r="X88" s="11">
        <v>533.96528</v>
      </c>
      <c r="Y88" s="11">
        <v>1014.51497</v>
      </c>
      <c r="Z88" s="11"/>
      <c r="AA88" s="11"/>
      <c r="AB88" s="11">
        <f>AC88+AD88+AE88+AF88</f>
        <v>9488.250250000001</v>
      </c>
      <c r="AC88" s="11">
        <f aca="true" t="shared" si="39" ref="AC88:AF92">S88+X88</f>
        <v>8034.94728</v>
      </c>
      <c r="AD88" s="11">
        <f t="shared" si="39"/>
        <v>1453.30297</v>
      </c>
      <c r="AE88" s="11">
        <f t="shared" si="39"/>
        <v>0</v>
      </c>
      <c r="AF88" s="11">
        <f t="shared" si="39"/>
        <v>0</v>
      </c>
      <c r="AG88" s="10" t="e">
        <f>AH88+AI88+AJ88+AK88</f>
        <v>#REF!</v>
      </c>
      <c r="AH88" s="11" t="e">
        <f>#REF!-S88</f>
        <v>#REF!</v>
      </c>
      <c r="AI88" s="11" t="e">
        <f>#REF!-T88</f>
        <v>#REF!</v>
      </c>
      <c r="AJ88" s="11" t="e">
        <f>#REF!-U88</f>
        <v>#REF!</v>
      </c>
      <c r="AK88" s="11" t="e">
        <f>#REF!-V88</f>
        <v>#REF!</v>
      </c>
    </row>
    <row r="89" spans="1:37" s="28" customFormat="1" ht="22.5" customHeight="1">
      <c r="A89" s="85">
        <v>69</v>
      </c>
      <c r="B89" s="72" t="s">
        <v>32</v>
      </c>
      <c r="C89" s="133"/>
      <c r="D89" s="133"/>
      <c r="E89" s="133"/>
      <c r="F89" s="133"/>
      <c r="G89" s="133"/>
      <c r="H89" s="37">
        <f>I89+J89+K89+L89</f>
        <v>14460.424</v>
      </c>
      <c r="I89" s="11"/>
      <c r="J89" s="11"/>
      <c r="K89" s="11">
        <v>14460.424</v>
      </c>
      <c r="L89" s="49"/>
      <c r="M89" s="46"/>
      <c r="N89" s="46"/>
      <c r="O89" s="46"/>
      <c r="P89" s="46"/>
      <c r="Q89" s="46"/>
      <c r="R89" s="11">
        <f>S89+T89+U89+V89</f>
        <v>10992.536</v>
      </c>
      <c r="S89" s="11"/>
      <c r="T89" s="11"/>
      <c r="U89" s="11">
        <f>10992.536</f>
        <v>10992.536</v>
      </c>
      <c r="V89" s="11"/>
      <c r="W89" s="11">
        <f>X89+Y89+Z89+AA89</f>
        <v>0</v>
      </c>
      <c r="X89" s="11"/>
      <c r="Y89" s="11"/>
      <c r="Z89" s="11"/>
      <c r="AA89" s="11"/>
      <c r="AB89" s="11">
        <f>AC89+AD89+AE89+AF89</f>
        <v>10992.536</v>
      </c>
      <c r="AC89" s="11">
        <f t="shared" si="39"/>
        <v>0</v>
      </c>
      <c r="AD89" s="11">
        <f t="shared" si="39"/>
        <v>0</v>
      </c>
      <c r="AE89" s="11">
        <f t="shared" si="39"/>
        <v>10992.536</v>
      </c>
      <c r="AF89" s="11">
        <f t="shared" si="39"/>
        <v>0</v>
      </c>
      <c r="AG89" s="10" t="e">
        <f>AH89+AI89+AJ89+AK89</f>
        <v>#REF!</v>
      </c>
      <c r="AH89" s="11" t="e">
        <f>#REF!-S89</f>
        <v>#REF!</v>
      </c>
      <c r="AI89" s="11" t="e">
        <f>#REF!-T89</f>
        <v>#REF!</v>
      </c>
      <c r="AJ89" s="11" t="e">
        <f>#REF!-U89</f>
        <v>#REF!</v>
      </c>
      <c r="AK89" s="11" t="e">
        <f>#REF!-V89</f>
        <v>#REF!</v>
      </c>
    </row>
    <row r="90" spans="1:37" s="28" customFormat="1" ht="18.75" customHeight="1">
      <c r="A90" s="85">
        <v>70</v>
      </c>
      <c r="B90" s="27" t="s">
        <v>121</v>
      </c>
      <c r="C90" s="134"/>
      <c r="D90" s="134"/>
      <c r="E90" s="134"/>
      <c r="F90" s="134"/>
      <c r="G90" s="134"/>
      <c r="H90" s="37">
        <f>I90+J90+K90+L90</f>
        <v>27663.396999999997</v>
      </c>
      <c r="I90" s="11"/>
      <c r="J90" s="11">
        <f>1870.728+1623.05</f>
        <v>3493.7780000000002</v>
      </c>
      <c r="K90" s="11">
        <f>12500+11669.619</f>
        <v>24169.619</v>
      </c>
      <c r="L90" s="49"/>
      <c r="M90" s="46"/>
      <c r="N90" s="46"/>
      <c r="O90" s="46"/>
      <c r="P90" s="46"/>
      <c r="Q90" s="46"/>
      <c r="R90" s="11">
        <f>S90+T90+U90+V90</f>
        <v>15993.778</v>
      </c>
      <c r="S90" s="11"/>
      <c r="T90" s="11">
        <f>2455.045+1038.733</f>
        <v>3493.7780000000002</v>
      </c>
      <c r="U90" s="11">
        <f>5718.00675+6750.37029+31.62296</f>
        <v>12500</v>
      </c>
      <c r="V90" s="11"/>
      <c r="W90" s="11">
        <f>X90+Y90+Z90+AA90</f>
        <v>1446.3018</v>
      </c>
      <c r="X90" s="11"/>
      <c r="Y90" s="11">
        <v>322.9011</v>
      </c>
      <c r="Z90" s="11">
        <v>1123.4007</v>
      </c>
      <c r="AA90" s="11"/>
      <c r="AB90" s="11">
        <f>AC90+AD90+AE90+AF90</f>
        <v>17440.0798</v>
      </c>
      <c r="AC90" s="11">
        <f t="shared" si="39"/>
        <v>0</v>
      </c>
      <c r="AD90" s="11">
        <f t="shared" si="39"/>
        <v>3816.6791000000003</v>
      </c>
      <c r="AE90" s="11">
        <f t="shared" si="39"/>
        <v>13623.4007</v>
      </c>
      <c r="AF90" s="11">
        <f t="shared" si="39"/>
        <v>0</v>
      </c>
      <c r="AG90" s="10" t="e">
        <f>AH90+AI90+AJ90+AK90</f>
        <v>#REF!</v>
      </c>
      <c r="AH90" s="11" t="e">
        <f>#REF!-S90</f>
        <v>#REF!</v>
      </c>
      <c r="AI90" s="11" t="e">
        <f>#REF!-T90</f>
        <v>#REF!</v>
      </c>
      <c r="AJ90" s="11" t="e">
        <f>#REF!-U90</f>
        <v>#REF!</v>
      </c>
      <c r="AK90" s="11" t="e">
        <f>#REF!-V90</f>
        <v>#REF!</v>
      </c>
    </row>
    <row r="91" spans="1:37" s="28" customFormat="1" ht="18.75" customHeight="1" hidden="1">
      <c r="A91" s="85"/>
      <c r="B91" s="27" t="s">
        <v>122</v>
      </c>
      <c r="C91" s="134"/>
      <c r="D91" s="134"/>
      <c r="E91" s="134"/>
      <c r="F91" s="134"/>
      <c r="G91" s="134"/>
      <c r="H91" s="37"/>
      <c r="I91" s="11"/>
      <c r="J91" s="11"/>
      <c r="K91" s="11"/>
      <c r="L91" s="49"/>
      <c r="M91" s="46"/>
      <c r="N91" s="46"/>
      <c r="O91" s="46"/>
      <c r="P91" s="46"/>
      <c r="Q91" s="46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0"/>
      <c r="AH91" s="11"/>
      <c r="AI91" s="11"/>
      <c r="AJ91" s="11"/>
      <c r="AK91" s="11"/>
    </row>
    <row r="92" spans="1:37" s="28" customFormat="1" ht="20.25" customHeight="1">
      <c r="A92" s="85">
        <v>71</v>
      </c>
      <c r="B92" s="27" t="s">
        <v>123</v>
      </c>
      <c r="C92" s="134"/>
      <c r="D92" s="134"/>
      <c r="E92" s="134"/>
      <c r="F92" s="134"/>
      <c r="G92" s="134"/>
      <c r="H92" s="37">
        <f>I92+J92+K92+L92</f>
        <v>1235.371</v>
      </c>
      <c r="I92" s="11"/>
      <c r="J92" s="11"/>
      <c r="K92" s="11">
        <v>1235.371</v>
      </c>
      <c r="L92" s="49"/>
      <c r="M92" s="46"/>
      <c r="N92" s="46"/>
      <c r="O92" s="46"/>
      <c r="P92" s="46"/>
      <c r="Q92" s="46"/>
      <c r="R92" s="11">
        <f>S92+T92+U92+V92</f>
        <v>1235.371</v>
      </c>
      <c r="S92" s="11"/>
      <c r="T92" s="11"/>
      <c r="U92" s="11">
        <v>1235.371</v>
      </c>
      <c r="V92" s="11"/>
      <c r="W92" s="11">
        <f>X92+Y92+Z92+AA92</f>
        <v>75.8963</v>
      </c>
      <c r="X92" s="11"/>
      <c r="Y92" s="11"/>
      <c r="Z92" s="11">
        <v>75.8963</v>
      </c>
      <c r="AA92" s="11"/>
      <c r="AB92" s="11">
        <f>AC92+AD92+AE92+AF92</f>
        <v>1311.2673</v>
      </c>
      <c r="AC92" s="11">
        <f t="shared" si="39"/>
        <v>0</v>
      </c>
      <c r="AD92" s="11">
        <f t="shared" si="39"/>
        <v>0</v>
      </c>
      <c r="AE92" s="11">
        <f t="shared" si="39"/>
        <v>1311.2673</v>
      </c>
      <c r="AF92" s="11">
        <f t="shared" si="39"/>
        <v>0</v>
      </c>
      <c r="AG92" s="10" t="e">
        <f>AH92+AI92+AJ92+AK92</f>
        <v>#REF!</v>
      </c>
      <c r="AH92" s="11" t="e">
        <f>#REF!-S92</f>
        <v>#REF!</v>
      </c>
      <c r="AI92" s="11" t="e">
        <f>#REF!-T92</f>
        <v>#REF!</v>
      </c>
      <c r="AJ92" s="11" t="e">
        <f>#REF!-U92</f>
        <v>#REF!</v>
      </c>
      <c r="AK92" s="11" t="e">
        <f>#REF!-V92</f>
        <v>#REF!</v>
      </c>
    </row>
    <row r="93" spans="1:37" s="28" customFormat="1" ht="20.25" customHeight="1">
      <c r="A93" s="4"/>
      <c r="B93" s="1" t="s">
        <v>22</v>
      </c>
      <c r="C93" s="132"/>
      <c r="D93" s="132"/>
      <c r="E93" s="132"/>
      <c r="F93" s="132"/>
      <c r="G93" s="132"/>
      <c r="H93" s="39">
        <f>SUM(H94:H97)</f>
        <v>74478.992</v>
      </c>
      <c r="I93" s="7">
        <f>SUM(I94:I97)</f>
        <v>70000</v>
      </c>
      <c r="J93" s="7">
        <f>SUM(J94:J97)</f>
        <v>3469.552</v>
      </c>
      <c r="K93" s="7">
        <f>SUM(K94:K97)</f>
        <v>0</v>
      </c>
      <c r="L93" s="40">
        <f>SUM(L94:L97)</f>
        <v>1009.44</v>
      </c>
      <c r="M93" s="41"/>
      <c r="N93" s="41"/>
      <c r="O93" s="41"/>
      <c r="P93" s="41"/>
      <c r="Q93" s="41"/>
      <c r="R93" s="7">
        <f>SUM(R94:R97)</f>
        <v>3957.80364</v>
      </c>
      <c r="S93" s="7">
        <f>SUM(S94:S97)</f>
        <v>0</v>
      </c>
      <c r="T93" s="7">
        <f>SUM(T94:T97)</f>
        <v>3104.82693</v>
      </c>
      <c r="U93" s="7">
        <f>SUM(U94:U97)</f>
        <v>0</v>
      </c>
      <c r="V93" s="7">
        <f>SUM(V94:V97)</f>
        <v>852.97671</v>
      </c>
      <c r="W93" s="7">
        <f aca="true" t="shared" si="40" ref="W93:AK93">SUM(W94:W97)</f>
        <v>282.93275</v>
      </c>
      <c r="X93" s="7">
        <f t="shared" si="40"/>
        <v>0</v>
      </c>
      <c r="Y93" s="7">
        <f t="shared" si="40"/>
        <v>238.03875</v>
      </c>
      <c r="Z93" s="7">
        <f t="shared" si="40"/>
        <v>0</v>
      </c>
      <c r="AA93" s="7">
        <f t="shared" si="40"/>
        <v>44.894</v>
      </c>
      <c r="AB93" s="7">
        <f t="shared" si="40"/>
        <v>4240.73639</v>
      </c>
      <c r="AC93" s="7">
        <f t="shared" si="40"/>
        <v>0</v>
      </c>
      <c r="AD93" s="7">
        <f t="shared" si="40"/>
        <v>3342.86568</v>
      </c>
      <c r="AE93" s="7">
        <f t="shared" si="40"/>
        <v>0</v>
      </c>
      <c r="AF93" s="7">
        <f t="shared" si="40"/>
        <v>897.87071</v>
      </c>
      <c r="AG93" s="20" t="e">
        <f t="shared" si="40"/>
        <v>#REF!</v>
      </c>
      <c r="AH93" s="7" t="e">
        <f t="shared" si="40"/>
        <v>#REF!</v>
      </c>
      <c r="AI93" s="7" t="e">
        <f t="shared" si="40"/>
        <v>#REF!</v>
      </c>
      <c r="AJ93" s="7" t="e">
        <f t="shared" si="40"/>
        <v>#REF!</v>
      </c>
      <c r="AK93" s="7" t="e">
        <f t="shared" si="40"/>
        <v>#REF!</v>
      </c>
    </row>
    <row r="94" spans="1:37" s="28" customFormat="1" ht="22.5" customHeight="1">
      <c r="A94" s="85">
        <v>72</v>
      </c>
      <c r="B94" s="21" t="s">
        <v>22</v>
      </c>
      <c r="C94" s="139"/>
      <c r="D94" s="139"/>
      <c r="E94" s="139"/>
      <c r="F94" s="139"/>
      <c r="G94" s="139"/>
      <c r="H94" s="37">
        <f>I94+J94+K94+L94</f>
        <v>70000</v>
      </c>
      <c r="I94" s="11">
        <v>70000</v>
      </c>
      <c r="J94" s="11"/>
      <c r="K94" s="11"/>
      <c r="L94" s="49"/>
      <c r="M94" s="46"/>
      <c r="N94" s="46"/>
      <c r="O94" s="46"/>
      <c r="P94" s="46"/>
      <c r="Q94" s="46"/>
      <c r="R94" s="11">
        <f>S94+T94+U94+V94</f>
        <v>0</v>
      </c>
      <c r="S94" s="11"/>
      <c r="T94" s="11"/>
      <c r="U94" s="11"/>
      <c r="V94" s="11"/>
      <c r="W94" s="11">
        <f>X94+Y94+Z94+AA94</f>
        <v>0</v>
      </c>
      <c r="X94" s="11"/>
      <c r="Y94" s="11"/>
      <c r="Z94" s="11"/>
      <c r="AA94" s="11"/>
      <c r="AB94" s="11">
        <f>AC94+AD94+AE94+AF94</f>
        <v>0</v>
      </c>
      <c r="AC94" s="11">
        <f aca="true" t="shared" si="41" ref="AC94:AF97">S94+X94</f>
        <v>0</v>
      </c>
      <c r="AD94" s="11">
        <f t="shared" si="41"/>
        <v>0</v>
      </c>
      <c r="AE94" s="11">
        <f t="shared" si="41"/>
        <v>0</v>
      </c>
      <c r="AF94" s="11">
        <f t="shared" si="41"/>
        <v>0</v>
      </c>
      <c r="AG94" s="10" t="e">
        <f>AH94+AI94+AJ94+AK94</f>
        <v>#REF!</v>
      </c>
      <c r="AH94" s="11" t="e">
        <f>#REF!-S94</f>
        <v>#REF!</v>
      </c>
      <c r="AI94" s="11" t="e">
        <f>#REF!-T94</f>
        <v>#REF!</v>
      </c>
      <c r="AJ94" s="11" t="e">
        <f>#REF!-U94</f>
        <v>#REF!</v>
      </c>
      <c r="AK94" s="11" t="e">
        <f>#REF!-V94</f>
        <v>#REF!</v>
      </c>
    </row>
    <row r="95" spans="1:37" s="28" customFormat="1" ht="20.25" customHeight="1">
      <c r="A95" s="85">
        <v>73</v>
      </c>
      <c r="B95" s="72" t="s">
        <v>124</v>
      </c>
      <c r="C95" s="133"/>
      <c r="D95" s="133"/>
      <c r="E95" s="133"/>
      <c r="F95" s="133"/>
      <c r="G95" s="133"/>
      <c r="H95" s="37">
        <f>I95+J95+K95+L95</f>
        <v>1415.4660000000001</v>
      </c>
      <c r="I95" s="11"/>
      <c r="J95" s="11">
        <v>406.026</v>
      </c>
      <c r="K95" s="11"/>
      <c r="L95" s="49">
        <v>1009.44</v>
      </c>
      <c r="M95" s="46"/>
      <c r="N95" s="46"/>
      <c r="O95" s="46"/>
      <c r="P95" s="46"/>
      <c r="Q95" s="46"/>
      <c r="R95" s="11">
        <f>S95+T95+U95+V95</f>
        <v>1196.06864</v>
      </c>
      <c r="S95" s="11"/>
      <c r="T95" s="11">
        <f>343.09193</f>
        <v>343.09193</v>
      </c>
      <c r="U95" s="11"/>
      <c r="V95" s="11">
        <f>498.35644+354.62027</f>
        <v>852.97671</v>
      </c>
      <c r="W95" s="11">
        <f>X95+Y95+Z95+AA95</f>
        <v>128.19071</v>
      </c>
      <c r="X95" s="11"/>
      <c r="Y95" s="11">
        <v>83.29671</v>
      </c>
      <c r="Z95" s="11"/>
      <c r="AA95" s="11">
        <v>44.894</v>
      </c>
      <c r="AB95" s="11">
        <f>AC95+AD95+AE95+AF95</f>
        <v>1324.25935</v>
      </c>
      <c r="AC95" s="11">
        <f t="shared" si="41"/>
        <v>0</v>
      </c>
      <c r="AD95" s="11">
        <f t="shared" si="41"/>
        <v>426.38864</v>
      </c>
      <c r="AE95" s="11">
        <f t="shared" si="41"/>
        <v>0</v>
      </c>
      <c r="AF95" s="11">
        <f t="shared" si="41"/>
        <v>897.87071</v>
      </c>
      <c r="AG95" s="10" t="e">
        <f>AH95+AI95+AJ95+AK95</f>
        <v>#REF!</v>
      </c>
      <c r="AH95" s="11" t="e">
        <f>#REF!-S95</f>
        <v>#REF!</v>
      </c>
      <c r="AI95" s="11" t="e">
        <f>#REF!-T95</f>
        <v>#REF!</v>
      </c>
      <c r="AJ95" s="11" t="e">
        <f>#REF!-U95</f>
        <v>#REF!</v>
      </c>
      <c r="AK95" s="11" t="e">
        <f>#REF!-V95</f>
        <v>#REF!</v>
      </c>
    </row>
    <row r="96" spans="1:37" s="28" customFormat="1" ht="20.25" customHeight="1">
      <c r="A96" s="85">
        <v>74</v>
      </c>
      <c r="B96" s="27" t="s">
        <v>125</v>
      </c>
      <c r="C96" s="134"/>
      <c r="D96" s="134"/>
      <c r="E96" s="134"/>
      <c r="F96" s="134"/>
      <c r="G96" s="134"/>
      <c r="H96" s="37">
        <f>I96+J96+K96+L96</f>
        <v>1631.789</v>
      </c>
      <c r="I96" s="11"/>
      <c r="J96" s="11">
        <v>1631.789</v>
      </c>
      <c r="K96" s="11"/>
      <c r="L96" s="49"/>
      <c r="M96" s="46"/>
      <c r="N96" s="46"/>
      <c r="O96" s="46"/>
      <c r="P96" s="46"/>
      <c r="Q96" s="46"/>
      <c r="R96" s="11">
        <f>S96+T96+U96+V96</f>
        <v>1329.998</v>
      </c>
      <c r="S96" s="11"/>
      <c r="T96" s="11">
        <f>1329.99811-0.00011</f>
        <v>1329.998</v>
      </c>
      <c r="U96" s="11"/>
      <c r="V96" s="11"/>
      <c r="W96" s="11">
        <f>X96+Y96+Z96+AA96</f>
        <v>70.00001</v>
      </c>
      <c r="X96" s="11"/>
      <c r="Y96" s="11">
        <v>70.00001</v>
      </c>
      <c r="Z96" s="11"/>
      <c r="AA96" s="11"/>
      <c r="AB96" s="11">
        <f>AC96+AD96+AE96+AF96</f>
        <v>1399.99801</v>
      </c>
      <c r="AC96" s="11">
        <f t="shared" si="41"/>
        <v>0</v>
      </c>
      <c r="AD96" s="11">
        <f t="shared" si="41"/>
        <v>1399.99801</v>
      </c>
      <c r="AE96" s="11">
        <f t="shared" si="41"/>
        <v>0</v>
      </c>
      <c r="AF96" s="11">
        <f t="shared" si="41"/>
        <v>0</v>
      </c>
      <c r="AG96" s="10" t="e">
        <f>AH96+AI96+AJ96+AK96</f>
        <v>#REF!</v>
      </c>
      <c r="AH96" s="11" t="e">
        <f>#REF!-S96</f>
        <v>#REF!</v>
      </c>
      <c r="AI96" s="11" t="e">
        <f>#REF!-T96</f>
        <v>#REF!</v>
      </c>
      <c r="AJ96" s="11" t="e">
        <f>#REF!-U96</f>
        <v>#REF!</v>
      </c>
      <c r="AK96" s="11" t="e">
        <f>#REF!-V96</f>
        <v>#REF!</v>
      </c>
    </row>
    <row r="97" spans="1:37" s="28" customFormat="1" ht="20.25" customHeight="1">
      <c r="A97" s="85">
        <v>75</v>
      </c>
      <c r="B97" s="27" t="s">
        <v>126</v>
      </c>
      <c r="C97" s="134"/>
      <c r="D97" s="134"/>
      <c r="E97" s="134"/>
      <c r="F97" s="134"/>
      <c r="G97" s="134"/>
      <c r="H97" s="37">
        <f>I97+J97+K97+L97</f>
        <v>1431.737</v>
      </c>
      <c r="I97" s="11"/>
      <c r="J97" s="11">
        <v>1431.737</v>
      </c>
      <c r="K97" s="11"/>
      <c r="L97" s="49"/>
      <c r="M97" s="46"/>
      <c r="N97" s="46"/>
      <c r="O97" s="46"/>
      <c r="P97" s="46"/>
      <c r="Q97" s="46"/>
      <c r="R97" s="11">
        <f>S97+T97+U97+V97</f>
        <v>1431.737</v>
      </c>
      <c r="S97" s="11"/>
      <c r="T97" s="11">
        <v>1431.737</v>
      </c>
      <c r="U97" s="11"/>
      <c r="V97" s="11"/>
      <c r="W97" s="11">
        <f>X97+Y97+Z97+AA97</f>
        <v>84.74203</v>
      </c>
      <c r="X97" s="11"/>
      <c r="Y97" s="11">
        <v>84.74203</v>
      </c>
      <c r="Z97" s="11"/>
      <c r="AA97" s="11"/>
      <c r="AB97" s="11">
        <f>AC97+AD97+AE97+AF97</f>
        <v>1516.47903</v>
      </c>
      <c r="AC97" s="11">
        <f t="shared" si="41"/>
        <v>0</v>
      </c>
      <c r="AD97" s="11">
        <f t="shared" si="41"/>
        <v>1516.47903</v>
      </c>
      <c r="AE97" s="11">
        <f t="shared" si="41"/>
        <v>0</v>
      </c>
      <c r="AF97" s="11">
        <f t="shared" si="41"/>
        <v>0</v>
      </c>
      <c r="AG97" s="10" t="e">
        <f>AH97+AI97+AJ97+AK97</f>
        <v>#REF!</v>
      </c>
      <c r="AH97" s="11" t="e">
        <f>#REF!-S97</f>
        <v>#REF!</v>
      </c>
      <c r="AI97" s="11" t="e">
        <f>#REF!-T97</f>
        <v>#REF!</v>
      </c>
      <c r="AJ97" s="11" t="e">
        <f>#REF!-U97</f>
        <v>#REF!</v>
      </c>
      <c r="AK97" s="11" t="e">
        <f>#REF!-V97</f>
        <v>#REF!</v>
      </c>
    </row>
    <row r="98" spans="1:37" s="28" customFormat="1" ht="20.25" customHeight="1">
      <c r="A98" s="4"/>
      <c r="B98" s="1" t="s">
        <v>6</v>
      </c>
      <c r="C98" s="132"/>
      <c r="D98" s="132"/>
      <c r="E98" s="132"/>
      <c r="F98" s="132"/>
      <c r="G98" s="132"/>
      <c r="H98" s="39">
        <f>SUM(H99:H108)</f>
        <v>25851.603140000003</v>
      </c>
      <c r="I98" s="7">
        <f>SUM(I99:I108)</f>
        <v>0</v>
      </c>
      <c r="J98" s="7">
        <f>SUM(J99:J108)</f>
        <v>23323.766140000003</v>
      </c>
      <c r="K98" s="7">
        <f>SUM(K99:K108)</f>
        <v>0</v>
      </c>
      <c r="L98" s="40">
        <f>SUM(L99:L108)</f>
        <v>2527.837</v>
      </c>
      <c r="M98" s="41"/>
      <c r="N98" s="41"/>
      <c r="O98" s="41"/>
      <c r="P98" s="41"/>
      <c r="Q98" s="41"/>
      <c r="R98" s="7">
        <f>SUM(R99:R108)</f>
        <v>24820.67829</v>
      </c>
      <c r="S98" s="7">
        <f>SUM(S99:S108)</f>
        <v>0</v>
      </c>
      <c r="T98" s="7">
        <f>SUM(T99:T108)</f>
        <v>22366.030099999996</v>
      </c>
      <c r="U98" s="7">
        <f>SUM(U99:U108)</f>
        <v>0</v>
      </c>
      <c r="V98" s="7">
        <f>SUM(V99:V108)</f>
        <v>2454.64819</v>
      </c>
      <c r="W98" s="7">
        <f aca="true" t="shared" si="42" ref="W98:AK98">SUM(W99:W108)</f>
        <v>4170.050209999999</v>
      </c>
      <c r="X98" s="7">
        <f t="shared" si="42"/>
        <v>0</v>
      </c>
      <c r="Y98" s="7">
        <f t="shared" si="42"/>
        <v>4040.23044</v>
      </c>
      <c r="Z98" s="7">
        <f t="shared" si="42"/>
        <v>0</v>
      </c>
      <c r="AA98" s="7">
        <f t="shared" si="42"/>
        <v>129.81977</v>
      </c>
      <c r="AB98" s="7">
        <f t="shared" si="42"/>
        <v>28990.7285</v>
      </c>
      <c r="AC98" s="7">
        <f t="shared" si="42"/>
        <v>0</v>
      </c>
      <c r="AD98" s="7">
        <f t="shared" si="42"/>
        <v>26406.26054</v>
      </c>
      <c r="AE98" s="7">
        <f t="shared" si="42"/>
        <v>0</v>
      </c>
      <c r="AF98" s="7">
        <f t="shared" si="42"/>
        <v>2584.46796</v>
      </c>
      <c r="AG98" s="20" t="e">
        <f t="shared" si="42"/>
        <v>#REF!</v>
      </c>
      <c r="AH98" s="7" t="e">
        <f t="shared" si="42"/>
        <v>#REF!</v>
      </c>
      <c r="AI98" s="7" t="e">
        <f t="shared" si="42"/>
        <v>#REF!</v>
      </c>
      <c r="AJ98" s="7" t="e">
        <f t="shared" si="42"/>
        <v>#REF!</v>
      </c>
      <c r="AK98" s="7" t="e">
        <f t="shared" si="42"/>
        <v>#REF!</v>
      </c>
    </row>
    <row r="99" spans="1:37" s="28" customFormat="1" ht="20.25" customHeight="1">
      <c r="A99" s="9">
        <v>76</v>
      </c>
      <c r="B99" s="21" t="s">
        <v>6</v>
      </c>
      <c r="C99" s="139"/>
      <c r="D99" s="139"/>
      <c r="E99" s="139"/>
      <c r="F99" s="139"/>
      <c r="G99" s="139"/>
      <c r="H99" s="37">
        <f aca="true" t="shared" si="43" ref="H99:H108">I99+J99+K99+L99</f>
        <v>5236.37814</v>
      </c>
      <c r="I99" s="13"/>
      <c r="J99" s="11">
        <f>5263.794-27.41586</f>
        <v>5236.37814</v>
      </c>
      <c r="K99" s="13"/>
      <c r="L99" s="76"/>
      <c r="M99" s="127"/>
      <c r="N99" s="127"/>
      <c r="O99" s="127"/>
      <c r="P99" s="127"/>
      <c r="Q99" s="127"/>
      <c r="R99" s="11">
        <f aca="true" t="shared" si="44" ref="R99:R108">S99+T99+U99+V99</f>
        <v>5236.37814</v>
      </c>
      <c r="S99" s="11"/>
      <c r="T99" s="11">
        <v>5236.37814</v>
      </c>
      <c r="U99" s="11"/>
      <c r="V99" s="11"/>
      <c r="W99" s="11">
        <f aca="true" t="shared" si="45" ref="W99:W108">X99+Y99+Z99+AA99</f>
        <v>1658.39918</v>
      </c>
      <c r="X99" s="11"/>
      <c r="Y99" s="11">
        <v>1658.39918</v>
      </c>
      <c r="Z99" s="11"/>
      <c r="AA99" s="11"/>
      <c r="AB99" s="11">
        <f aca="true" t="shared" si="46" ref="AB99:AB108">AC99+AD99+AE99+AF99</f>
        <v>6894.777319999999</v>
      </c>
      <c r="AC99" s="11">
        <f aca="true" t="shared" si="47" ref="AC99:AF108">S99+X99</f>
        <v>0</v>
      </c>
      <c r="AD99" s="11">
        <f t="shared" si="47"/>
        <v>6894.777319999999</v>
      </c>
      <c r="AE99" s="11">
        <f t="shared" si="47"/>
        <v>0</v>
      </c>
      <c r="AF99" s="11">
        <f t="shared" si="47"/>
        <v>0</v>
      </c>
      <c r="AG99" s="10" t="e">
        <f aca="true" t="shared" si="48" ref="AG99:AG108">AH99+AI99+AJ99+AK99</f>
        <v>#REF!</v>
      </c>
      <c r="AH99" s="11" t="e">
        <f>#REF!-S99</f>
        <v>#REF!</v>
      </c>
      <c r="AI99" s="11" t="e">
        <f>#REF!-T99</f>
        <v>#REF!</v>
      </c>
      <c r="AJ99" s="11" t="e">
        <f>#REF!-U99</f>
        <v>#REF!</v>
      </c>
      <c r="AK99" s="11" t="e">
        <f>#REF!-V99</f>
        <v>#REF!</v>
      </c>
    </row>
    <row r="100" spans="1:37" s="28" customFormat="1" ht="20.25" customHeight="1">
      <c r="A100" s="9">
        <v>77</v>
      </c>
      <c r="B100" s="72" t="s">
        <v>13</v>
      </c>
      <c r="C100" s="133"/>
      <c r="D100" s="133"/>
      <c r="E100" s="133"/>
      <c r="F100" s="133"/>
      <c r="G100" s="133"/>
      <c r="H100" s="37">
        <f t="shared" si="43"/>
        <v>2689.683</v>
      </c>
      <c r="I100" s="11"/>
      <c r="J100" s="11">
        <v>1440.179</v>
      </c>
      <c r="K100" s="11"/>
      <c r="L100" s="49">
        <v>1249.504</v>
      </c>
      <c r="M100" s="46"/>
      <c r="N100" s="46"/>
      <c r="O100" s="46"/>
      <c r="P100" s="46"/>
      <c r="Q100" s="46"/>
      <c r="R100" s="11">
        <f t="shared" si="44"/>
        <v>2666.058</v>
      </c>
      <c r="S100" s="11"/>
      <c r="T100" s="11">
        <v>1440.179</v>
      </c>
      <c r="U100" s="11"/>
      <c r="V100" s="11">
        <v>1225.879</v>
      </c>
      <c r="W100" s="11">
        <f t="shared" si="45"/>
        <v>260.36032</v>
      </c>
      <c r="X100" s="11"/>
      <c r="Y100" s="11">
        <v>195.83933</v>
      </c>
      <c r="Z100" s="11"/>
      <c r="AA100" s="11">
        <v>64.52099</v>
      </c>
      <c r="AB100" s="11">
        <f t="shared" si="46"/>
        <v>2926.4183199999998</v>
      </c>
      <c r="AC100" s="11">
        <f t="shared" si="47"/>
        <v>0</v>
      </c>
      <c r="AD100" s="11">
        <f t="shared" si="47"/>
        <v>1636.01833</v>
      </c>
      <c r="AE100" s="11">
        <f t="shared" si="47"/>
        <v>0</v>
      </c>
      <c r="AF100" s="11">
        <f t="shared" si="47"/>
        <v>1290.39999</v>
      </c>
      <c r="AG100" s="10" t="e">
        <f t="shared" si="48"/>
        <v>#REF!</v>
      </c>
      <c r="AH100" s="11" t="e">
        <f>#REF!-S100</f>
        <v>#REF!</v>
      </c>
      <c r="AI100" s="11" t="e">
        <f>#REF!-T100</f>
        <v>#REF!</v>
      </c>
      <c r="AJ100" s="11" t="e">
        <f>#REF!-U100</f>
        <v>#REF!</v>
      </c>
      <c r="AK100" s="11" t="e">
        <f>#REF!-V100</f>
        <v>#REF!</v>
      </c>
    </row>
    <row r="101" spans="1:37" s="28" customFormat="1" ht="20.25" customHeight="1">
      <c r="A101" s="85">
        <v>78</v>
      </c>
      <c r="B101" s="27" t="s">
        <v>127</v>
      </c>
      <c r="C101" s="134"/>
      <c r="D101" s="134"/>
      <c r="E101" s="134"/>
      <c r="F101" s="134"/>
      <c r="G101" s="134"/>
      <c r="H101" s="37">
        <f t="shared" si="43"/>
        <v>3835.465</v>
      </c>
      <c r="I101" s="11"/>
      <c r="J101" s="11">
        <v>3835.465</v>
      </c>
      <c r="K101" s="11"/>
      <c r="L101" s="49"/>
      <c r="M101" s="46"/>
      <c r="N101" s="46"/>
      <c r="O101" s="46"/>
      <c r="P101" s="46"/>
      <c r="Q101" s="46"/>
      <c r="R101" s="11">
        <f t="shared" si="44"/>
        <v>3715.94</v>
      </c>
      <c r="S101" s="11"/>
      <c r="T101" s="11">
        <f>1815.94+1900</f>
        <v>3715.94</v>
      </c>
      <c r="U101" s="11"/>
      <c r="V101" s="11"/>
      <c r="W101" s="11">
        <f t="shared" si="45"/>
        <v>196.9596</v>
      </c>
      <c r="X101" s="11"/>
      <c r="Y101" s="11">
        <v>196.9596</v>
      </c>
      <c r="Z101" s="11"/>
      <c r="AA101" s="11"/>
      <c r="AB101" s="11">
        <f t="shared" si="46"/>
        <v>3912.8996</v>
      </c>
      <c r="AC101" s="11">
        <f t="shared" si="47"/>
        <v>0</v>
      </c>
      <c r="AD101" s="11">
        <f t="shared" si="47"/>
        <v>3912.8996</v>
      </c>
      <c r="AE101" s="11">
        <f t="shared" si="47"/>
        <v>0</v>
      </c>
      <c r="AF101" s="11">
        <f t="shared" si="47"/>
        <v>0</v>
      </c>
      <c r="AG101" s="10" t="e">
        <f t="shared" si="48"/>
        <v>#REF!</v>
      </c>
      <c r="AH101" s="11" t="e">
        <f>#REF!-S101</f>
        <v>#REF!</v>
      </c>
      <c r="AI101" s="11" t="e">
        <f>#REF!-T101</f>
        <v>#REF!</v>
      </c>
      <c r="AJ101" s="11" t="e">
        <f>#REF!-U101</f>
        <v>#REF!</v>
      </c>
      <c r="AK101" s="11" t="e">
        <f>#REF!-V101</f>
        <v>#REF!</v>
      </c>
    </row>
    <row r="102" spans="1:37" s="28" customFormat="1" ht="20.25" customHeight="1">
      <c r="A102" s="85">
        <v>79</v>
      </c>
      <c r="B102" s="27" t="s">
        <v>128</v>
      </c>
      <c r="C102" s="134"/>
      <c r="D102" s="134"/>
      <c r="E102" s="134"/>
      <c r="F102" s="134"/>
      <c r="G102" s="134"/>
      <c r="H102" s="37">
        <f t="shared" si="43"/>
        <v>4126.046</v>
      </c>
      <c r="I102" s="11"/>
      <c r="J102" s="11">
        <v>4126.046</v>
      </c>
      <c r="K102" s="11"/>
      <c r="L102" s="49"/>
      <c r="M102" s="46"/>
      <c r="N102" s="46"/>
      <c r="O102" s="46"/>
      <c r="P102" s="46"/>
      <c r="Q102" s="46"/>
      <c r="R102" s="11">
        <f t="shared" si="44"/>
        <v>3795.96232</v>
      </c>
      <c r="S102" s="11"/>
      <c r="T102" s="11">
        <f>3795.96232</f>
        <v>3795.96232</v>
      </c>
      <c r="U102" s="11"/>
      <c r="V102" s="11"/>
      <c r="W102" s="11">
        <f t="shared" si="45"/>
        <v>317.93912</v>
      </c>
      <c r="X102" s="11"/>
      <c r="Y102" s="11">
        <v>317.93912</v>
      </c>
      <c r="Z102" s="11"/>
      <c r="AA102" s="11"/>
      <c r="AB102" s="11">
        <f t="shared" si="46"/>
        <v>4113.90144</v>
      </c>
      <c r="AC102" s="11">
        <f t="shared" si="47"/>
        <v>0</v>
      </c>
      <c r="AD102" s="11">
        <f t="shared" si="47"/>
        <v>4113.90144</v>
      </c>
      <c r="AE102" s="11">
        <f t="shared" si="47"/>
        <v>0</v>
      </c>
      <c r="AF102" s="11">
        <f t="shared" si="47"/>
        <v>0</v>
      </c>
      <c r="AG102" s="10" t="e">
        <f t="shared" si="48"/>
        <v>#REF!</v>
      </c>
      <c r="AH102" s="11" t="e">
        <f>#REF!-S102</f>
        <v>#REF!</v>
      </c>
      <c r="AI102" s="11" t="e">
        <f>#REF!-T102</f>
        <v>#REF!</v>
      </c>
      <c r="AJ102" s="11" t="e">
        <f>#REF!-U102</f>
        <v>#REF!</v>
      </c>
      <c r="AK102" s="11" t="e">
        <f>#REF!-V102</f>
        <v>#REF!</v>
      </c>
    </row>
    <row r="103" spans="1:37" s="28" customFormat="1" ht="20.25" customHeight="1">
      <c r="A103" s="85">
        <v>80</v>
      </c>
      <c r="B103" s="27" t="s">
        <v>129</v>
      </c>
      <c r="C103" s="134"/>
      <c r="D103" s="134"/>
      <c r="E103" s="134"/>
      <c r="F103" s="134"/>
      <c r="G103" s="134"/>
      <c r="H103" s="37">
        <f t="shared" si="43"/>
        <v>1180.522</v>
      </c>
      <c r="I103" s="11"/>
      <c r="J103" s="11">
        <v>1180.522</v>
      </c>
      <c r="K103" s="11"/>
      <c r="L103" s="49"/>
      <c r="M103" s="46"/>
      <c r="N103" s="46"/>
      <c r="O103" s="46"/>
      <c r="P103" s="46"/>
      <c r="Q103" s="46"/>
      <c r="R103" s="11">
        <f t="shared" si="44"/>
        <v>1180.522</v>
      </c>
      <c r="S103" s="11"/>
      <c r="T103" s="11">
        <v>1180.522</v>
      </c>
      <c r="U103" s="11"/>
      <c r="V103" s="11"/>
      <c r="W103" s="11">
        <f t="shared" si="45"/>
        <v>659.71185</v>
      </c>
      <c r="X103" s="11"/>
      <c r="Y103" s="11">
        <v>659.71185</v>
      </c>
      <c r="Z103" s="11"/>
      <c r="AA103" s="11"/>
      <c r="AB103" s="11">
        <f t="shared" si="46"/>
        <v>1840.23385</v>
      </c>
      <c r="AC103" s="11">
        <f t="shared" si="47"/>
        <v>0</v>
      </c>
      <c r="AD103" s="11">
        <f t="shared" si="47"/>
        <v>1840.23385</v>
      </c>
      <c r="AE103" s="11">
        <f t="shared" si="47"/>
        <v>0</v>
      </c>
      <c r="AF103" s="11">
        <f t="shared" si="47"/>
        <v>0</v>
      </c>
      <c r="AG103" s="10" t="e">
        <f t="shared" si="48"/>
        <v>#REF!</v>
      </c>
      <c r="AH103" s="11" t="e">
        <f>#REF!-S103</f>
        <v>#REF!</v>
      </c>
      <c r="AI103" s="11" t="e">
        <f>#REF!-T103</f>
        <v>#REF!</v>
      </c>
      <c r="AJ103" s="11" t="e">
        <f>#REF!-U103</f>
        <v>#REF!</v>
      </c>
      <c r="AK103" s="11" t="e">
        <f>#REF!-V103</f>
        <v>#REF!</v>
      </c>
    </row>
    <row r="104" spans="1:37" s="28" customFormat="1" ht="20.25" customHeight="1">
      <c r="A104" s="85">
        <v>81</v>
      </c>
      <c r="B104" s="27" t="s">
        <v>130</v>
      </c>
      <c r="C104" s="134"/>
      <c r="D104" s="134"/>
      <c r="E104" s="134"/>
      <c r="F104" s="134"/>
      <c r="G104" s="134"/>
      <c r="H104" s="37">
        <f t="shared" si="43"/>
        <v>998.258</v>
      </c>
      <c r="I104" s="11"/>
      <c r="J104" s="11">
        <v>998.258</v>
      </c>
      <c r="K104" s="11"/>
      <c r="L104" s="49"/>
      <c r="M104" s="46"/>
      <c r="N104" s="46"/>
      <c r="O104" s="46"/>
      <c r="P104" s="46"/>
      <c r="Q104" s="46"/>
      <c r="R104" s="11">
        <f t="shared" si="44"/>
        <v>998.258</v>
      </c>
      <c r="S104" s="11"/>
      <c r="T104" s="11">
        <f>548.022+450.236</f>
        <v>998.258</v>
      </c>
      <c r="U104" s="11"/>
      <c r="V104" s="11"/>
      <c r="W104" s="11">
        <f t="shared" si="45"/>
        <v>230.68335</v>
      </c>
      <c r="X104" s="11"/>
      <c r="Y104" s="11">
        <v>230.68335</v>
      </c>
      <c r="Z104" s="11"/>
      <c r="AA104" s="11"/>
      <c r="AB104" s="11">
        <f t="shared" si="46"/>
        <v>1228.94135</v>
      </c>
      <c r="AC104" s="11">
        <f t="shared" si="47"/>
        <v>0</v>
      </c>
      <c r="AD104" s="11">
        <f t="shared" si="47"/>
        <v>1228.94135</v>
      </c>
      <c r="AE104" s="11">
        <f t="shared" si="47"/>
        <v>0</v>
      </c>
      <c r="AF104" s="11">
        <f t="shared" si="47"/>
        <v>0</v>
      </c>
      <c r="AG104" s="10" t="e">
        <f t="shared" si="48"/>
        <v>#REF!</v>
      </c>
      <c r="AH104" s="11" t="e">
        <f>#REF!-S104</f>
        <v>#REF!</v>
      </c>
      <c r="AI104" s="11" t="e">
        <f>#REF!-T104</f>
        <v>#REF!</v>
      </c>
      <c r="AJ104" s="11" t="e">
        <f>#REF!-U104</f>
        <v>#REF!</v>
      </c>
      <c r="AK104" s="11" t="e">
        <f>#REF!-V104</f>
        <v>#REF!</v>
      </c>
    </row>
    <row r="105" spans="1:37" s="28" customFormat="1" ht="22.5" customHeight="1">
      <c r="A105" s="85">
        <v>82</v>
      </c>
      <c r="B105" s="27" t="s">
        <v>131</v>
      </c>
      <c r="C105" s="134"/>
      <c r="D105" s="134"/>
      <c r="E105" s="134"/>
      <c r="F105" s="134"/>
      <c r="G105" s="134"/>
      <c r="H105" s="37">
        <f t="shared" si="43"/>
        <v>2073.709</v>
      </c>
      <c r="I105" s="11"/>
      <c r="J105" s="11">
        <v>1110.358</v>
      </c>
      <c r="K105" s="11"/>
      <c r="L105" s="49">
        <f>971.23-7.879</f>
        <v>963.351</v>
      </c>
      <c r="M105" s="46"/>
      <c r="N105" s="46"/>
      <c r="O105" s="46"/>
      <c r="P105" s="46"/>
      <c r="Q105" s="46"/>
      <c r="R105" s="11">
        <f t="shared" si="44"/>
        <v>2029.93483</v>
      </c>
      <c r="S105" s="11"/>
      <c r="T105" s="11">
        <v>1110.358</v>
      </c>
      <c r="U105" s="11"/>
      <c r="V105" s="11">
        <f>333.40346+586.17337</f>
        <v>919.57683</v>
      </c>
      <c r="W105" s="11">
        <f t="shared" si="45"/>
        <v>273.10484</v>
      </c>
      <c r="X105" s="11"/>
      <c r="Y105" s="11">
        <v>224.70606</v>
      </c>
      <c r="Z105" s="11"/>
      <c r="AA105" s="11">
        <v>48.39878</v>
      </c>
      <c r="AB105" s="11">
        <f t="shared" si="46"/>
        <v>2303.03967</v>
      </c>
      <c r="AC105" s="11">
        <f t="shared" si="47"/>
        <v>0</v>
      </c>
      <c r="AD105" s="11">
        <f t="shared" si="47"/>
        <v>1335.06406</v>
      </c>
      <c r="AE105" s="11">
        <f t="shared" si="47"/>
        <v>0</v>
      </c>
      <c r="AF105" s="11">
        <f t="shared" si="47"/>
        <v>967.97561</v>
      </c>
      <c r="AG105" s="10" t="e">
        <f t="shared" si="48"/>
        <v>#REF!</v>
      </c>
      <c r="AH105" s="11" t="e">
        <f>#REF!-S105</f>
        <v>#REF!</v>
      </c>
      <c r="AI105" s="11" t="e">
        <f>#REF!-T105</f>
        <v>#REF!</v>
      </c>
      <c r="AJ105" s="11" t="e">
        <f>#REF!-U105</f>
        <v>#REF!</v>
      </c>
      <c r="AK105" s="11" t="e">
        <f>#REF!-V105</f>
        <v>#REF!</v>
      </c>
    </row>
    <row r="106" spans="1:37" s="28" customFormat="1" ht="20.25" customHeight="1">
      <c r="A106" s="85">
        <v>83</v>
      </c>
      <c r="B106" s="27" t="s">
        <v>132</v>
      </c>
      <c r="C106" s="134"/>
      <c r="D106" s="134"/>
      <c r="E106" s="134"/>
      <c r="F106" s="134"/>
      <c r="G106" s="134"/>
      <c r="H106" s="37">
        <f t="shared" si="43"/>
        <v>2252.476</v>
      </c>
      <c r="I106" s="11"/>
      <c r="J106" s="11">
        <f>1206.078+1006.398</f>
        <v>2212.476</v>
      </c>
      <c r="K106" s="11"/>
      <c r="L106" s="49">
        <v>40</v>
      </c>
      <c r="M106" s="46"/>
      <c r="N106" s="46"/>
      <c r="O106" s="46"/>
      <c r="P106" s="46"/>
      <c r="Q106" s="46"/>
      <c r="R106" s="11">
        <f t="shared" si="44"/>
        <v>2252.476</v>
      </c>
      <c r="S106" s="11"/>
      <c r="T106" s="11">
        <v>2212.476</v>
      </c>
      <c r="U106" s="11"/>
      <c r="V106" s="11">
        <v>40</v>
      </c>
      <c r="W106" s="11">
        <f t="shared" si="45"/>
        <v>122.4</v>
      </c>
      <c r="X106" s="11"/>
      <c r="Y106" s="11">
        <v>120</v>
      </c>
      <c r="Z106" s="11"/>
      <c r="AA106" s="11">
        <v>2.4</v>
      </c>
      <c r="AB106" s="11">
        <f t="shared" si="46"/>
        <v>2374.876</v>
      </c>
      <c r="AC106" s="11">
        <f t="shared" si="47"/>
        <v>0</v>
      </c>
      <c r="AD106" s="11">
        <f t="shared" si="47"/>
        <v>2332.476</v>
      </c>
      <c r="AE106" s="11">
        <f t="shared" si="47"/>
        <v>0</v>
      </c>
      <c r="AF106" s="11">
        <f t="shared" si="47"/>
        <v>42.4</v>
      </c>
      <c r="AG106" s="10" t="e">
        <f t="shared" si="48"/>
        <v>#REF!</v>
      </c>
      <c r="AH106" s="11" t="e">
        <f>#REF!-S106</f>
        <v>#REF!</v>
      </c>
      <c r="AI106" s="11" t="e">
        <f>#REF!-T106</f>
        <v>#REF!</v>
      </c>
      <c r="AJ106" s="11" t="e">
        <f>#REF!-U106</f>
        <v>#REF!</v>
      </c>
      <c r="AK106" s="11" t="e">
        <f>#REF!-V106</f>
        <v>#REF!</v>
      </c>
    </row>
    <row r="107" spans="1:37" s="28" customFormat="1" ht="31.5" customHeight="1">
      <c r="A107" s="85">
        <v>84</v>
      </c>
      <c r="B107" s="27" t="s">
        <v>133</v>
      </c>
      <c r="C107" s="134"/>
      <c r="D107" s="134"/>
      <c r="E107" s="134"/>
      <c r="F107" s="134"/>
      <c r="G107" s="134"/>
      <c r="H107" s="37">
        <f t="shared" si="43"/>
        <v>1577.828</v>
      </c>
      <c r="I107" s="11"/>
      <c r="J107" s="11">
        <v>1577.828</v>
      </c>
      <c r="K107" s="11"/>
      <c r="L107" s="49"/>
      <c r="M107" s="46"/>
      <c r="N107" s="46"/>
      <c r="O107" s="46"/>
      <c r="P107" s="46"/>
      <c r="Q107" s="46"/>
      <c r="R107" s="11">
        <f t="shared" si="44"/>
        <v>1577.828</v>
      </c>
      <c r="S107" s="11"/>
      <c r="T107" s="11">
        <f>732.987+844.841</f>
        <v>1577.828</v>
      </c>
      <c r="U107" s="11"/>
      <c r="V107" s="11"/>
      <c r="W107" s="11">
        <f t="shared" si="45"/>
        <v>350.99195</v>
      </c>
      <c r="X107" s="11"/>
      <c r="Y107" s="11">
        <v>350.99195</v>
      </c>
      <c r="Z107" s="11"/>
      <c r="AA107" s="11"/>
      <c r="AB107" s="11">
        <f t="shared" si="46"/>
        <v>1928.81995</v>
      </c>
      <c r="AC107" s="11">
        <f t="shared" si="47"/>
        <v>0</v>
      </c>
      <c r="AD107" s="11">
        <f t="shared" si="47"/>
        <v>1928.81995</v>
      </c>
      <c r="AE107" s="11">
        <f t="shared" si="47"/>
        <v>0</v>
      </c>
      <c r="AF107" s="11">
        <f t="shared" si="47"/>
        <v>0</v>
      </c>
      <c r="AG107" s="10" t="e">
        <f t="shared" si="48"/>
        <v>#REF!</v>
      </c>
      <c r="AH107" s="11" t="e">
        <f>#REF!-S107</f>
        <v>#REF!</v>
      </c>
      <c r="AI107" s="11" t="e">
        <f>#REF!-T107</f>
        <v>#REF!</v>
      </c>
      <c r="AJ107" s="11" t="e">
        <f>#REF!-U107</f>
        <v>#REF!</v>
      </c>
      <c r="AK107" s="11" t="e">
        <f>#REF!-V107</f>
        <v>#REF!</v>
      </c>
    </row>
    <row r="108" spans="1:37" s="28" customFormat="1" ht="20.25" customHeight="1">
      <c r="A108" s="85">
        <v>85</v>
      </c>
      <c r="B108" s="27" t="s">
        <v>134</v>
      </c>
      <c r="C108" s="134"/>
      <c r="D108" s="134"/>
      <c r="E108" s="134"/>
      <c r="F108" s="134"/>
      <c r="G108" s="134"/>
      <c r="H108" s="37">
        <f t="shared" si="43"/>
        <v>1881.238</v>
      </c>
      <c r="I108" s="11"/>
      <c r="J108" s="11">
        <v>1606.256</v>
      </c>
      <c r="K108" s="11"/>
      <c r="L108" s="49">
        <v>274.982</v>
      </c>
      <c r="M108" s="46"/>
      <c r="N108" s="46"/>
      <c r="O108" s="46"/>
      <c r="P108" s="46"/>
      <c r="Q108" s="46"/>
      <c r="R108" s="11">
        <f t="shared" si="44"/>
        <v>1367.321</v>
      </c>
      <c r="S108" s="11"/>
      <c r="T108" s="11">
        <v>1098.12864</v>
      </c>
      <c r="U108" s="11"/>
      <c r="V108" s="11">
        <v>269.19236</v>
      </c>
      <c r="W108" s="11">
        <f t="shared" si="45"/>
        <v>99.5</v>
      </c>
      <c r="X108" s="11"/>
      <c r="Y108" s="11">
        <v>85</v>
      </c>
      <c r="Z108" s="11"/>
      <c r="AA108" s="11">
        <v>14.5</v>
      </c>
      <c r="AB108" s="11">
        <f t="shared" si="46"/>
        <v>1466.821</v>
      </c>
      <c r="AC108" s="11">
        <f t="shared" si="47"/>
        <v>0</v>
      </c>
      <c r="AD108" s="11">
        <f t="shared" si="47"/>
        <v>1183.12864</v>
      </c>
      <c r="AE108" s="11">
        <f t="shared" si="47"/>
        <v>0</v>
      </c>
      <c r="AF108" s="11">
        <f t="shared" si="47"/>
        <v>283.69236</v>
      </c>
      <c r="AG108" s="10" t="e">
        <f t="shared" si="48"/>
        <v>#REF!</v>
      </c>
      <c r="AH108" s="11" t="e">
        <f>#REF!-S108</f>
        <v>#REF!</v>
      </c>
      <c r="AI108" s="11" t="e">
        <f>#REF!-T108</f>
        <v>#REF!</v>
      </c>
      <c r="AJ108" s="11" t="e">
        <f>#REF!-U108</f>
        <v>#REF!</v>
      </c>
      <c r="AK108" s="11" t="e">
        <f>#REF!-V108</f>
        <v>#REF!</v>
      </c>
    </row>
    <row r="109" spans="1:37" s="28" customFormat="1" ht="31.5" customHeight="1">
      <c r="A109" s="4"/>
      <c r="B109" s="1" t="s">
        <v>23</v>
      </c>
      <c r="C109" s="132"/>
      <c r="D109" s="132"/>
      <c r="E109" s="132"/>
      <c r="F109" s="132"/>
      <c r="G109" s="132"/>
      <c r="H109" s="39">
        <f>SUM(H110:H115)</f>
        <v>49778.541</v>
      </c>
      <c r="I109" s="7">
        <f>SUM(I110:I115)</f>
        <v>28515.783</v>
      </c>
      <c r="J109" s="7">
        <f>SUM(J111:J115)</f>
        <v>17418.469</v>
      </c>
      <c r="K109" s="7">
        <f>SUM(K111:K115)</f>
        <v>0</v>
      </c>
      <c r="L109" s="40">
        <f>SUM(L111:L115)</f>
        <v>3844.289</v>
      </c>
      <c r="M109" s="41"/>
      <c r="N109" s="41"/>
      <c r="O109" s="41"/>
      <c r="P109" s="41"/>
      <c r="Q109" s="41"/>
      <c r="R109" s="7">
        <f>SUM(R110:R115)</f>
        <v>34814.919630000004</v>
      </c>
      <c r="S109" s="7">
        <f>SUM(S110:S115)</f>
        <v>13680.87258</v>
      </c>
      <c r="T109" s="7">
        <f>SUM(T111:T115)</f>
        <v>17289.75805</v>
      </c>
      <c r="U109" s="7">
        <f>SUM(U111:U115)</f>
        <v>0</v>
      </c>
      <c r="V109" s="7">
        <f>SUM(V111:V115)</f>
        <v>3844.2889999999998</v>
      </c>
      <c r="W109" s="7">
        <f>SUM(W110:W115)</f>
        <v>3605.23257</v>
      </c>
      <c r="X109" s="7">
        <f>SUM(X110:X115)</f>
        <v>1120.84416</v>
      </c>
      <c r="Y109" s="7">
        <f>SUM(Y111:Y115)</f>
        <v>1524.0767600000001</v>
      </c>
      <c r="Z109" s="7">
        <f>SUM(Z111:Z115)</f>
        <v>0</v>
      </c>
      <c r="AA109" s="7">
        <f>SUM(AA111:AA115)</f>
        <v>960.31165</v>
      </c>
      <c r="AB109" s="7">
        <f>SUM(AB110:AB115)</f>
        <v>38420.1522</v>
      </c>
      <c r="AC109" s="7">
        <f>SUM(AC110:AC115)</f>
        <v>14801.71674</v>
      </c>
      <c r="AD109" s="7">
        <f>SUM(AD111:AD115)</f>
        <v>18813.83481</v>
      </c>
      <c r="AE109" s="7">
        <f>SUM(AE111:AE115)</f>
        <v>0</v>
      </c>
      <c r="AF109" s="7">
        <f>SUM(AF111:AF115)</f>
        <v>4804.600649999999</v>
      </c>
      <c r="AG109" s="20" t="e">
        <f>SUM(AG110:AG115)</f>
        <v>#REF!</v>
      </c>
      <c r="AH109" s="7" t="e">
        <f>SUM(AH110:AH115)</f>
        <v>#REF!</v>
      </c>
      <c r="AI109" s="7" t="e">
        <f>SUM(AI111:AI115)</f>
        <v>#REF!</v>
      </c>
      <c r="AJ109" s="7" t="e">
        <f>SUM(AJ111:AJ115)</f>
        <v>#REF!</v>
      </c>
      <c r="AK109" s="7" t="e">
        <f>SUM(AK111:AK115)</f>
        <v>#REF!</v>
      </c>
    </row>
    <row r="110" spans="1:37" s="28" customFormat="1" ht="23.25" customHeight="1">
      <c r="A110" s="9">
        <v>86</v>
      </c>
      <c r="B110" s="21" t="s">
        <v>8</v>
      </c>
      <c r="C110" s="139"/>
      <c r="D110" s="139"/>
      <c r="E110" s="139"/>
      <c r="F110" s="139"/>
      <c r="G110" s="139"/>
      <c r="H110" s="37">
        <f aca="true" t="shared" si="49" ref="H110:H115">I110+J110+K110+L110</f>
        <v>28515.783</v>
      </c>
      <c r="I110" s="11">
        <f>15107.053+13408.73</f>
        <v>28515.783</v>
      </c>
      <c r="J110" s="11"/>
      <c r="K110" s="11"/>
      <c r="L110" s="49"/>
      <c r="M110" s="46"/>
      <c r="N110" s="46"/>
      <c r="O110" s="46"/>
      <c r="P110" s="46"/>
      <c r="Q110" s="46"/>
      <c r="R110" s="11">
        <f aca="true" t="shared" si="50" ref="R110:R115">S110+T110+U110+V110</f>
        <v>13680.87258</v>
      </c>
      <c r="S110" s="11">
        <v>13680.87258</v>
      </c>
      <c r="T110" s="11"/>
      <c r="U110" s="11"/>
      <c r="V110" s="11"/>
      <c r="W110" s="11">
        <f aca="true" t="shared" si="51" ref="W110:W115">X110+Y110+Z110+AA110</f>
        <v>1120.84416</v>
      </c>
      <c r="X110" s="11">
        <v>1120.84416</v>
      </c>
      <c r="Y110" s="11"/>
      <c r="Z110" s="11"/>
      <c r="AA110" s="11"/>
      <c r="AB110" s="11">
        <f aca="true" t="shared" si="52" ref="AB110:AB115">AC110+AD110+AE110+AF110</f>
        <v>14801.71674</v>
      </c>
      <c r="AC110" s="11">
        <f aca="true" t="shared" si="53" ref="AC110:AF115">S110+X110</f>
        <v>14801.71674</v>
      </c>
      <c r="AD110" s="11">
        <f t="shared" si="53"/>
        <v>0</v>
      </c>
      <c r="AE110" s="11">
        <f t="shared" si="53"/>
        <v>0</v>
      </c>
      <c r="AF110" s="11">
        <f t="shared" si="53"/>
        <v>0</v>
      </c>
      <c r="AG110" s="10" t="e">
        <f aca="true" t="shared" si="54" ref="AG110:AG115">AH110+AI110+AJ110+AK110</f>
        <v>#REF!</v>
      </c>
      <c r="AH110" s="11" t="e">
        <f>#REF!-S110</f>
        <v>#REF!</v>
      </c>
      <c r="AI110" s="11" t="e">
        <f>#REF!-T110</f>
        <v>#REF!</v>
      </c>
      <c r="AJ110" s="11" t="e">
        <f>#REF!-U110</f>
        <v>#REF!</v>
      </c>
      <c r="AK110" s="11" t="e">
        <f>#REF!-V110</f>
        <v>#REF!</v>
      </c>
    </row>
    <row r="111" spans="1:37" s="28" customFormat="1" ht="20.25" customHeight="1">
      <c r="A111" s="9">
        <v>87</v>
      </c>
      <c r="B111" s="27" t="s">
        <v>135</v>
      </c>
      <c r="C111" s="134"/>
      <c r="D111" s="134"/>
      <c r="E111" s="134"/>
      <c r="F111" s="134"/>
      <c r="G111" s="134"/>
      <c r="H111" s="37">
        <f t="shared" si="49"/>
        <v>6539.7880000000005</v>
      </c>
      <c r="I111" s="11"/>
      <c r="J111" s="11">
        <v>3501.7</v>
      </c>
      <c r="K111" s="11"/>
      <c r="L111" s="49">
        <f>2223.248+814.84</f>
        <v>3038.088</v>
      </c>
      <c r="M111" s="46"/>
      <c r="N111" s="46"/>
      <c r="O111" s="46"/>
      <c r="P111" s="46"/>
      <c r="Q111" s="46"/>
      <c r="R111" s="11">
        <f t="shared" si="50"/>
        <v>6534.31928</v>
      </c>
      <c r="S111" s="11"/>
      <c r="T111" s="11">
        <f>2407.878+1088.35328</f>
        <v>3496.23128</v>
      </c>
      <c r="U111" s="11"/>
      <c r="V111" s="11">
        <f>709.83291+461.2281+283.53007+757.54346+825.95346</f>
        <v>3038.0879999999997</v>
      </c>
      <c r="W111" s="11">
        <f t="shared" si="51"/>
        <v>750.02841</v>
      </c>
      <c r="X111" s="11"/>
      <c r="Y111" s="11">
        <v>188.78476</v>
      </c>
      <c r="Z111" s="11"/>
      <c r="AA111" s="11">
        <v>561.24365</v>
      </c>
      <c r="AB111" s="11">
        <f t="shared" si="52"/>
        <v>7284.34769</v>
      </c>
      <c r="AC111" s="11">
        <f t="shared" si="53"/>
        <v>0</v>
      </c>
      <c r="AD111" s="11">
        <f t="shared" si="53"/>
        <v>3685.01604</v>
      </c>
      <c r="AE111" s="11">
        <f t="shared" si="53"/>
        <v>0</v>
      </c>
      <c r="AF111" s="11">
        <f t="shared" si="53"/>
        <v>3599.3316499999996</v>
      </c>
      <c r="AG111" s="10" t="e">
        <f t="shared" si="54"/>
        <v>#REF!</v>
      </c>
      <c r="AH111" s="11" t="e">
        <f>#REF!-S111</f>
        <v>#REF!</v>
      </c>
      <c r="AI111" s="11" t="e">
        <f>#REF!-T111</f>
        <v>#REF!</v>
      </c>
      <c r="AJ111" s="11" t="e">
        <f>#REF!-U111</f>
        <v>#REF!</v>
      </c>
      <c r="AK111" s="11" t="e">
        <f>#REF!-V111</f>
        <v>#REF!</v>
      </c>
    </row>
    <row r="112" spans="1:37" s="28" customFormat="1" ht="20.25" customHeight="1">
      <c r="A112" s="85">
        <v>88</v>
      </c>
      <c r="B112" s="27" t="s">
        <v>136</v>
      </c>
      <c r="C112" s="134"/>
      <c r="D112" s="134"/>
      <c r="E112" s="134"/>
      <c r="F112" s="134"/>
      <c r="G112" s="134"/>
      <c r="H112" s="37">
        <f t="shared" si="49"/>
        <v>1735.06</v>
      </c>
      <c r="I112" s="11"/>
      <c r="J112" s="11">
        <v>928.859</v>
      </c>
      <c r="K112" s="11"/>
      <c r="L112" s="49">
        <v>806.201</v>
      </c>
      <c r="M112" s="46"/>
      <c r="N112" s="46"/>
      <c r="O112" s="46"/>
      <c r="P112" s="46"/>
      <c r="Q112" s="46"/>
      <c r="R112" s="11">
        <f t="shared" si="50"/>
        <v>1611.81777</v>
      </c>
      <c r="S112" s="11"/>
      <c r="T112" s="11">
        <f>805.61677</f>
        <v>805.61677</v>
      </c>
      <c r="U112" s="11"/>
      <c r="V112" s="11">
        <v>806.201</v>
      </c>
      <c r="W112" s="11">
        <f t="shared" si="51"/>
        <v>441.469</v>
      </c>
      <c r="X112" s="11"/>
      <c r="Y112" s="11">
        <v>42.401</v>
      </c>
      <c r="Z112" s="11"/>
      <c r="AA112" s="11">
        <v>399.068</v>
      </c>
      <c r="AB112" s="11">
        <f t="shared" si="52"/>
        <v>2053.2867699999997</v>
      </c>
      <c r="AC112" s="11">
        <f t="shared" si="53"/>
        <v>0</v>
      </c>
      <c r="AD112" s="11">
        <f t="shared" si="53"/>
        <v>848.0177699999999</v>
      </c>
      <c r="AE112" s="11">
        <f t="shared" si="53"/>
        <v>0</v>
      </c>
      <c r="AF112" s="11">
        <f t="shared" si="53"/>
        <v>1205.269</v>
      </c>
      <c r="AG112" s="10" t="e">
        <f t="shared" si="54"/>
        <v>#REF!</v>
      </c>
      <c r="AH112" s="11" t="e">
        <f>#REF!-S112</f>
        <v>#REF!</v>
      </c>
      <c r="AI112" s="11" t="e">
        <f>#REF!-T112</f>
        <v>#REF!</v>
      </c>
      <c r="AJ112" s="11" t="e">
        <f>#REF!-U112</f>
        <v>#REF!</v>
      </c>
      <c r="AK112" s="11" t="e">
        <f>#REF!-V112</f>
        <v>#REF!</v>
      </c>
    </row>
    <row r="113" spans="1:37" s="28" customFormat="1" ht="30.75" customHeight="1">
      <c r="A113" s="85">
        <v>89</v>
      </c>
      <c r="B113" s="27" t="s">
        <v>137</v>
      </c>
      <c r="C113" s="134"/>
      <c r="D113" s="134"/>
      <c r="E113" s="134"/>
      <c r="F113" s="134"/>
      <c r="G113" s="134"/>
      <c r="H113" s="37">
        <f t="shared" si="49"/>
        <v>10409.432</v>
      </c>
      <c r="I113" s="11"/>
      <c r="J113" s="11">
        <f>5573.684+4835.748</f>
        <v>10409.432</v>
      </c>
      <c r="K113" s="11"/>
      <c r="L113" s="49"/>
      <c r="M113" s="46"/>
      <c r="N113" s="46"/>
      <c r="O113" s="46"/>
      <c r="P113" s="46"/>
      <c r="Q113" s="46"/>
      <c r="R113" s="11">
        <f t="shared" si="50"/>
        <v>10409.432</v>
      </c>
      <c r="S113" s="11"/>
      <c r="T113" s="11">
        <f>1573.684+2793.32+1206.68+4835.748</f>
        <v>10409.432</v>
      </c>
      <c r="U113" s="11"/>
      <c r="V113" s="11"/>
      <c r="W113" s="11">
        <f t="shared" si="51"/>
        <v>645.02</v>
      </c>
      <c r="X113" s="11"/>
      <c r="Y113" s="11">
        <v>645.02</v>
      </c>
      <c r="Z113" s="11"/>
      <c r="AA113" s="11"/>
      <c r="AB113" s="11">
        <f t="shared" si="52"/>
        <v>11054.452000000001</v>
      </c>
      <c r="AC113" s="11">
        <f t="shared" si="53"/>
        <v>0</v>
      </c>
      <c r="AD113" s="11">
        <f t="shared" si="53"/>
        <v>11054.452000000001</v>
      </c>
      <c r="AE113" s="11">
        <f t="shared" si="53"/>
        <v>0</v>
      </c>
      <c r="AF113" s="11">
        <f t="shared" si="53"/>
        <v>0</v>
      </c>
      <c r="AG113" s="10" t="e">
        <f t="shared" si="54"/>
        <v>#REF!</v>
      </c>
      <c r="AH113" s="11" t="e">
        <f>#REF!-S113</f>
        <v>#REF!</v>
      </c>
      <c r="AI113" s="11" t="e">
        <f>#REF!-T113</f>
        <v>#REF!</v>
      </c>
      <c r="AJ113" s="11" t="e">
        <f>#REF!-U113</f>
        <v>#REF!</v>
      </c>
      <c r="AK113" s="11" t="e">
        <f>#REF!-V113</f>
        <v>#REF!</v>
      </c>
    </row>
    <row r="114" spans="1:37" s="28" customFormat="1" ht="20.25" customHeight="1">
      <c r="A114" s="85">
        <v>90</v>
      </c>
      <c r="B114" s="27" t="s">
        <v>138</v>
      </c>
      <c r="C114" s="134"/>
      <c r="D114" s="134"/>
      <c r="E114" s="134"/>
      <c r="F114" s="134"/>
      <c r="G114" s="134"/>
      <c r="H114" s="37">
        <f t="shared" si="49"/>
        <v>754.982</v>
      </c>
      <c r="I114" s="11"/>
      <c r="J114" s="11">
        <v>754.982</v>
      </c>
      <c r="K114" s="11"/>
      <c r="L114" s="49"/>
      <c r="M114" s="46"/>
      <c r="N114" s="46"/>
      <c r="O114" s="46"/>
      <c r="P114" s="46"/>
      <c r="Q114" s="46"/>
      <c r="R114" s="11">
        <f t="shared" si="50"/>
        <v>754.982</v>
      </c>
      <c r="S114" s="11"/>
      <c r="T114" s="11">
        <v>754.982</v>
      </c>
      <c r="U114" s="11"/>
      <c r="V114" s="11"/>
      <c r="W114" s="11">
        <f t="shared" si="51"/>
        <v>544.977</v>
      </c>
      <c r="X114" s="11"/>
      <c r="Y114" s="11">
        <v>544.977</v>
      </c>
      <c r="Z114" s="11"/>
      <c r="AA114" s="11"/>
      <c r="AB114" s="11">
        <f t="shared" si="52"/>
        <v>1299.9589999999998</v>
      </c>
      <c r="AC114" s="11">
        <f t="shared" si="53"/>
        <v>0</v>
      </c>
      <c r="AD114" s="11">
        <f t="shared" si="53"/>
        <v>1299.9589999999998</v>
      </c>
      <c r="AE114" s="11">
        <f t="shared" si="53"/>
        <v>0</v>
      </c>
      <c r="AF114" s="11">
        <f t="shared" si="53"/>
        <v>0</v>
      </c>
      <c r="AG114" s="10" t="e">
        <f t="shared" si="54"/>
        <v>#REF!</v>
      </c>
      <c r="AH114" s="11" t="e">
        <f>#REF!-S114</f>
        <v>#REF!</v>
      </c>
      <c r="AI114" s="11" t="e">
        <f>#REF!-T114</f>
        <v>#REF!</v>
      </c>
      <c r="AJ114" s="11" t="e">
        <f>#REF!-U114</f>
        <v>#REF!</v>
      </c>
      <c r="AK114" s="11" t="e">
        <f>#REF!-V114</f>
        <v>#REF!</v>
      </c>
    </row>
    <row r="115" spans="1:37" s="28" customFormat="1" ht="20.25" customHeight="1">
      <c r="A115" s="85">
        <v>91</v>
      </c>
      <c r="B115" s="27" t="s">
        <v>139</v>
      </c>
      <c r="C115" s="134"/>
      <c r="D115" s="134"/>
      <c r="E115" s="134"/>
      <c r="F115" s="134"/>
      <c r="G115" s="134"/>
      <c r="H115" s="37">
        <f t="shared" si="49"/>
        <v>1823.496</v>
      </c>
      <c r="I115" s="11"/>
      <c r="J115" s="11">
        <v>1823.496</v>
      </c>
      <c r="K115" s="11"/>
      <c r="L115" s="49"/>
      <c r="M115" s="46"/>
      <c r="N115" s="46"/>
      <c r="O115" s="46"/>
      <c r="P115" s="46"/>
      <c r="Q115" s="46"/>
      <c r="R115" s="11">
        <f t="shared" si="50"/>
        <v>1823.496</v>
      </c>
      <c r="S115" s="11"/>
      <c r="T115" s="11">
        <v>1823.496</v>
      </c>
      <c r="U115" s="11"/>
      <c r="V115" s="11"/>
      <c r="W115" s="11">
        <f t="shared" si="51"/>
        <v>102.894</v>
      </c>
      <c r="X115" s="11"/>
      <c r="Y115" s="11">
        <v>102.894</v>
      </c>
      <c r="Z115" s="11"/>
      <c r="AA115" s="11"/>
      <c r="AB115" s="11">
        <f t="shared" si="52"/>
        <v>1926.39</v>
      </c>
      <c r="AC115" s="11">
        <f t="shared" si="53"/>
        <v>0</v>
      </c>
      <c r="AD115" s="11">
        <f t="shared" si="53"/>
        <v>1926.39</v>
      </c>
      <c r="AE115" s="11">
        <f t="shared" si="53"/>
        <v>0</v>
      </c>
      <c r="AF115" s="11">
        <f t="shared" si="53"/>
        <v>0</v>
      </c>
      <c r="AG115" s="10" t="e">
        <f t="shared" si="54"/>
        <v>#REF!</v>
      </c>
      <c r="AH115" s="11" t="e">
        <f>#REF!-S115</f>
        <v>#REF!</v>
      </c>
      <c r="AI115" s="11" t="e">
        <f>#REF!-T115</f>
        <v>#REF!</v>
      </c>
      <c r="AJ115" s="11" t="e">
        <f>#REF!-U115</f>
        <v>#REF!</v>
      </c>
      <c r="AK115" s="11" t="e">
        <f>#REF!-V115</f>
        <v>#REF!</v>
      </c>
    </row>
    <row r="116" spans="1:37" s="28" customFormat="1" ht="20.25" customHeight="1">
      <c r="A116" s="4"/>
      <c r="B116" s="1" t="s">
        <v>24</v>
      </c>
      <c r="C116" s="132"/>
      <c r="D116" s="132"/>
      <c r="E116" s="132"/>
      <c r="F116" s="132"/>
      <c r="G116" s="132"/>
      <c r="H116" s="39">
        <f>SUM(H117:H131)</f>
        <v>27872.27257</v>
      </c>
      <c r="I116" s="7">
        <f>SUM(I117:I131)</f>
        <v>0</v>
      </c>
      <c r="J116" s="7">
        <f>SUM(J118:J131)</f>
        <v>15615.776</v>
      </c>
      <c r="K116" s="7">
        <f>SUM(K118:K131)</f>
        <v>8000</v>
      </c>
      <c r="L116" s="40">
        <f>SUM(L118:L131)</f>
        <v>4256.496569999999</v>
      </c>
      <c r="M116" s="41"/>
      <c r="N116" s="41"/>
      <c r="O116" s="41"/>
      <c r="P116" s="41"/>
      <c r="Q116" s="41"/>
      <c r="R116" s="7">
        <f>SUM(R117:R131)</f>
        <v>26097.313569999995</v>
      </c>
      <c r="S116" s="7">
        <f>SUM(S117:S131)</f>
        <v>0</v>
      </c>
      <c r="T116" s="7">
        <f>SUM(T117:T131)</f>
        <v>13922.655060000001</v>
      </c>
      <c r="U116" s="7">
        <f>SUM(U117:U131)</f>
        <v>8000</v>
      </c>
      <c r="V116" s="7">
        <f>SUM(V117:V131)</f>
        <v>4174.65851</v>
      </c>
      <c r="W116" s="7">
        <f aca="true" t="shared" si="55" ref="W116:AK116">SUM(W117:W131)</f>
        <v>6376.62165</v>
      </c>
      <c r="X116" s="7">
        <f t="shared" si="55"/>
        <v>0</v>
      </c>
      <c r="Y116" s="7">
        <f t="shared" si="55"/>
        <v>2777.1387900000004</v>
      </c>
      <c r="Z116" s="7">
        <f t="shared" si="55"/>
        <v>2194.491</v>
      </c>
      <c r="AA116" s="7">
        <f t="shared" si="55"/>
        <v>1404.99186</v>
      </c>
      <c r="AB116" s="7">
        <f t="shared" si="55"/>
        <v>32473.935220000003</v>
      </c>
      <c r="AC116" s="7">
        <f t="shared" si="55"/>
        <v>0</v>
      </c>
      <c r="AD116" s="7">
        <f t="shared" si="55"/>
        <v>16699.79385</v>
      </c>
      <c r="AE116" s="7">
        <f t="shared" si="55"/>
        <v>10194.491</v>
      </c>
      <c r="AF116" s="7">
        <f t="shared" si="55"/>
        <v>5579.650369999999</v>
      </c>
      <c r="AG116" s="20" t="e">
        <f t="shared" si="55"/>
        <v>#REF!</v>
      </c>
      <c r="AH116" s="7" t="e">
        <f t="shared" si="55"/>
        <v>#REF!</v>
      </c>
      <c r="AI116" s="7" t="e">
        <f t="shared" si="55"/>
        <v>#REF!</v>
      </c>
      <c r="AJ116" s="7" t="e">
        <f t="shared" si="55"/>
        <v>#REF!</v>
      </c>
      <c r="AK116" s="7" t="e">
        <f t="shared" si="55"/>
        <v>#REF!</v>
      </c>
    </row>
    <row r="117" spans="1:37" s="24" customFormat="1" ht="22.5" customHeight="1" hidden="1">
      <c r="A117" s="26"/>
      <c r="B117" s="25" t="s">
        <v>7</v>
      </c>
      <c r="C117" s="140"/>
      <c r="D117" s="140"/>
      <c r="E117" s="140"/>
      <c r="F117" s="140"/>
      <c r="G117" s="140"/>
      <c r="H117" s="43">
        <f aca="true" t="shared" si="56" ref="H117:H131">I117+J117+K117+L117</f>
        <v>0</v>
      </c>
      <c r="I117" s="42"/>
      <c r="J117" s="42"/>
      <c r="K117" s="42"/>
      <c r="L117" s="44"/>
      <c r="M117" s="45"/>
      <c r="N117" s="45"/>
      <c r="O117" s="45"/>
      <c r="P117" s="45"/>
      <c r="Q117" s="45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>
        <f aca="true" t="shared" si="57" ref="AB117:AB131">AC117+AD117+AE117+AF117</f>
        <v>0</v>
      </c>
      <c r="AC117" s="42">
        <f aca="true" t="shared" si="58" ref="AC117:AF131">S117+X117</f>
        <v>0</v>
      </c>
      <c r="AD117" s="42">
        <f t="shared" si="58"/>
        <v>0</v>
      </c>
      <c r="AE117" s="42">
        <f t="shared" si="58"/>
        <v>0</v>
      </c>
      <c r="AF117" s="42">
        <f t="shared" si="58"/>
        <v>0</v>
      </c>
      <c r="AG117" s="22" t="e">
        <f aca="true" t="shared" si="59" ref="AG117:AG131">AH117+AI117+AJ117+AK117</f>
        <v>#REF!</v>
      </c>
      <c r="AH117" s="42" t="e">
        <f>#REF!-S117</f>
        <v>#REF!</v>
      </c>
      <c r="AI117" s="42" t="e">
        <f>#REF!-T117</f>
        <v>#REF!</v>
      </c>
      <c r="AJ117" s="42" t="e">
        <f>#REF!-U117</f>
        <v>#REF!</v>
      </c>
      <c r="AK117" s="42" t="e">
        <f>#REF!-V117</f>
        <v>#REF!</v>
      </c>
    </row>
    <row r="118" spans="1:37" s="28" customFormat="1" ht="20.25" customHeight="1">
      <c r="A118" s="9">
        <v>92</v>
      </c>
      <c r="B118" s="27" t="s">
        <v>140</v>
      </c>
      <c r="C118" s="134"/>
      <c r="D118" s="134"/>
      <c r="E118" s="134"/>
      <c r="F118" s="134"/>
      <c r="G118" s="134"/>
      <c r="H118" s="37">
        <f t="shared" si="56"/>
        <v>2751.603</v>
      </c>
      <c r="I118" s="11"/>
      <c r="J118" s="11">
        <v>1788.612</v>
      </c>
      <c r="K118" s="11"/>
      <c r="L118" s="49">
        <v>962.991</v>
      </c>
      <c r="M118" s="46"/>
      <c r="N118" s="46"/>
      <c r="O118" s="46"/>
      <c r="P118" s="46"/>
      <c r="Q118" s="46"/>
      <c r="R118" s="11">
        <f aca="true" t="shared" si="60" ref="R118:R131">S118+T118+U118+V118</f>
        <v>2743.174</v>
      </c>
      <c r="S118" s="11"/>
      <c r="T118" s="11">
        <f>1115.974+664.209</f>
        <v>1780.183</v>
      </c>
      <c r="U118" s="11"/>
      <c r="V118" s="11">
        <v>962.991</v>
      </c>
      <c r="W118" s="11">
        <f aca="true" t="shared" si="61" ref="W118:W131">X118+Y118+Z118+AA118</f>
        <v>437.14744</v>
      </c>
      <c r="X118" s="11"/>
      <c r="Y118" s="11">
        <v>140.78541</v>
      </c>
      <c r="Z118" s="11"/>
      <c r="AA118" s="11">
        <v>296.36203</v>
      </c>
      <c r="AB118" s="11">
        <f t="shared" si="57"/>
        <v>3180.3214399999997</v>
      </c>
      <c r="AC118" s="11">
        <f t="shared" si="58"/>
        <v>0</v>
      </c>
      <c r="AD118" s="11">
        <f t="shared" si="58"/>
        <v>1920.96841</v>
      </c>
      <c r="AE118" s="11">
        <f t="shared" si="58"/>
        <v>0</v>
      </c>
      <c r="AF118" s="11">
        <f t="shared" si="58"/>
        <v>1259.35303</v>
      </c>
      <c r="AG118" s="10" t="e">
        <f t="shared" si="59"/>
        <v>#REF!</v>
      </c>
      <c r="AH118" s="11" t="e">
        <f>#REF!-S118</f>
        <v>#REF!</v>
      </c>
      <c r="AI118" s="11" t="e">
        <f>#REF!-T118</f>
        <v>#REF!</v>
      </c>
      <c r="AJ118" s="11" t="e">
        <f>#REF!-U118</f>
        <v>#REF!</v>
      </c>
      <c r="AK118" s="11" t="e">
        <f>#REF!-V118</f>
        <v>#REF!</v>
      </c>
    </row>
    <row r="119" spans="1:37" s="28" customFormat="1" ht="29.25" customHeight="1">
      <c r="A119" s="85">
        <v>93</v>
      </c>
      <c r="B119" s="27" t="s">
        <v>141</v>
      </c>
      <c r="C119" s="134"/>
      <c r="D119" s="134"/>
      <c r="E119" s="134"/>
      <c r="F119" s="134"/>
      <c r="G119" s="134"/>
      <c r="H119" s="37">
        <f t="shared" si="56"/>
        <v>755.127</v>
      </c>
      <c r="I119" s="11"/>
      <c r="J119" s="11">
        <v>404.329</v>
      </c>
      <c r="K119" s="11"/>
      <c r="L119" s="49">
        <v>350.798</v>
      </c>
      <c r="M119" s="46"/>
      <c r="N119" s="46"/>
      <c r="O119" s="46"/>
      <c r="P119" s="46"/>
      <c r="Q119" s="46"/>
      <c r="R119" s="11">
        <f t="shared" si="60"/>
        <v>755.127</v>
      </c>
      <c r="S119" s="11"/>
      <c r="T119" s="11">
        <v>404.329</v>
      </c>
      <c r="U119" s="11"/>
      <c r="V119" s="11">
        <f>143.6883+207.1097</f>
        <v>350.798</v>
      </c>
      <c r="W119" s="11">
        <f t="shared" si="61"/>
        <v>103.10000000000001</v>
      </c>
      <c r="X119" s="11"/>
      <c r="Y119" s="11">
        <v>69.92364</v>
      </c>
      <c r="Z119" s="11"/>
      <c r="AA119" s="11">
        <v>33.17636</v>
      </c>
      <c r="AB119" s="11">
        <f t="shared" si="57"/>
        <v>858.2270000000001</v>
      </c>
      <c r="AC119" s="11">
        <f t="shared" si="58"/>
        <v>0</v>
      </c>
      <c r="AD119" s="11">
        <f t="shared" si="58"/>
        <v>474.25264000000004</v>
      </c>
      <c r="AE119" s="11">
        <f t="shared" si="58"/>
        <v>0</v>
      </c>
      <c r="AF119" s="11">
        <f t="shared" si="58"/>
        <v>383.97436</v>
      </c>
      <c r="AG119" s="10" t="e">
        <f t="shared" si="59"/>
        <v>#REF!</v>
      </c>
      <c r="AH119" s="11" t="e">
        <f>#REF!-S119</f>
        <v>#REF!</v>
      </c>
      <c r="AI119" s="11" t="e">
        <f>#REF!-T119</f>
        <v>#REF!</v>
      </c>
      <c r="AJ119" s="11" t="e">
        <f>#REF!-U119</f>
        <v>#REF!</v>
      </c>
      <c r="AK119" s="11" t="e">
        <f>#REF!-V119</f>
        <v>#REF!</v>
      </c>
    </row>
    <row r="120" spans="1:37" s="28" customFormat="1" ht="20.25" customHeight="1" hidden="1">
      <c r="A120" s="85"/>
      <c r="B120" s="27" t="s">
        <v>142</v>
      </c>
      <c r="C120" s="134"/>
      <c r="D120" s="134"/>
      <c r="E120" s="134"/>
      <c r="F120" s="134"/>
      <c r="G120" s="134"/>
      <c r="H120" s="37">
        <f t="shared" si="56"/>
        <v>0</v>
      </c>
      <c r="I120" s="11"/>
      <c r="J120" s="11"/>
      <c r="K120" s="11"/>
      <c r="L120" s="49"/>
      <c r="M120" s="46"/>
      <c r="N120" s="46"/>
      <c r="O120" s="46"/>
      <c r="P120" s="46"/>
      <c r="Q120" s="46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>
        <f t="shared" si="57"/>
        <v>0</v>
      </c>
      <c r="AC120" s="11">
        <f t="shared" si="58"/>
        <v>0</v>
      </c>
      <c r="AD120" s="11">
        <f t="shared" si="58"/>
        <v>0</v>
      </c>
      <c r="AE120" s="11">
        <f t="shared" si="58"/>
        <v>0</v>
      </c>
      <c r="AF120" s="11">
        <f t="shared" si="58"/>
        <v>0</v>
      </c>
      <c r="AG120" s="10" t="e">
        <f t="shared" si="59"/>
        <v>#REF!</v>
      </c>
      <c r="AH120" s="11" t="e">
        <f>#REF!-S120</f>
        <v>#REF!</v>
      </c>
      <c r="AI120" s="11" t="e">
        <f>#REF!-T120</f>
        <v>#REF!</v>
      </c>
      <c r="AJ120" s="11" t="e">
        <f>#REF!-U120</f>
        <v>#REF!</v>
      </c>
      <c r="AK120" s="11" t="e">
        <f>#REF!-V120</f>
        <v>#REF!</v>
      </c>
    </row>
    <row r="121" spans="1:37" s="28" customFormat="1" ht="20.25" customHeight="1">
      <c r="A121" s="85">
        <v>94</v>
      </c>
      <c r="B121" s="27" t="s">
        <v>143</v>
      </c>
      <c r="C121" s="134"/>
      <c r="D121" s="134"/>
      <c r="E121" s="134"/>
      <c r="F121" s="134"/>
      <c r="G121" s="134"/>
      <c r="H121" s="37">
        <f t="shared" si="56"/>
        <v>1294.47857</v>
      </c>
      <c r="I121" s="11"/>
      <c r="J121" s="11">
        <v>736.773</v>
      </c>
      <c r="K121" s="11"/>
      <c r="L121" s="49">
        <v>557.70557</v>
      </c>
      <c r="M121" s="46"/>
      <c r="N121" s="46"/>
      <c r="O121" s="46"/>
      <c r="P121" s="46"/>
      <c r="Q121" s="46"/>
      <c r="R121" s="11">
        <f t="shared" si="60"/>
        <v>1143.81421</v>
      </c>
      <c r="S121" s="11"/>
      <c r="T121" s="11">
        <f>651.02</f>
        <v>651.02</v>
      </c>
      <c r="U121" s="11"/>
      <c r="V121" s="11">
        <f>492.79421</f>
        <v>492.79421</v>
      </c>
      <c r="W121" s="11">
        <f t="shared" si="61"/>
        <v>193.64516</v>
      </c>
      <c r="X121" s="11"/>
      <c r="Y121" s="11">
        <v>167.16201</v>
      </c>
      <c r="Z121" s="11"/>
      <c r="AA121" s="11">
        <v>26.48315</v>
      </c>
      <c r="AB121" s="11">
        <f t="shared" si="57"/>
        <v>1337.45937</v>
      </c>
      <c r="AC121" s="11">
        <f t="shared" si="58"/>
        <v>0</v>
      </c>
      <c r="AD121" s="11">
        <f t="shared" si="58"/>
        <v>818.18201</v>
      </c>
      <c r="AE121" s="11">
        <f t="shared" si="58"/>
        <v>0</v>
      </c>
      <c r="AF121" s="11">
        <f t="shared" si="58"/>
        <v>519.27736</v>
      </c>
      <c r="AG121" s="10" t="e">
        <f t="shared" si="59"/>
        <v>#REF!</v>
      </c>
      <c r="AH121" s="11" t="e">
        <f>#REF!-S121</f>
        <v>#REF!</v>
      </c>
      <c r="AI121" s="11" t="e">
        <f>#REF!-T121</f>
        <v>#REF!</v>
      </c>
      <c r="AJ121" s="11" t="e">
        <f>#REF!-U121</f>
        <v>#REF!</v>
      </c>
      <c r="AK121" s="11" t="e">
        <f>#REF!-V121</f>
        <v>#REF!</v>
      </c>
    </row>
    <row r="122" spans="1:37" s="28" customFormat="1" ht="23.25" customHeight="1">
      <c r="A122" s="85">
        <v>95</v>
      </c>
      <c r="B122" s="27" t="s">
        <v>144</v>
      </c>
      <c r="C122" s="134"/>
      <c r="D122" s="134"/>
      <c r="E122" s="134"/>
      <c r="F122" s="134"/>
      <c r="G122" s="134"/>
      <c r="H122" s="37">
        <f t="shared" si="56"/>
        <v>834.47</v>
      </c>
      <c r="I122" s="11"/>
      <c r="J122" s="11">
        <f>446.813+387.657</f>
        <v>834.47</v>
      </c>
      <c r="K122" s="11"/>
      <c r="L122" s="49"/>
      <c r="M122" s="46"/>
      <c r="N122" s="46"/>
      <c r="O122" s="46"/>
      <c r="P122" s="46"/>
      <c r="Q122" s="46"/>
      <c r="R122" s="11">
        <f t="shared" si="60"/>
        <v>723.3469600000001</v>
      </c>
      <c r="S122" s="11"/>
      <c r="T122" s="11">
        <f>387.1388+336.20816</f>
        <v>723.3469600000001</v>
      </c>
      <c r="U122" s="11"/>
      <c r="V122" s="11"/>
      <c r="W122" s="11">
        <f t="shared" si="61"/>
        <v>392.12206</v>
      </c>
      <c r="X122" s="11"/>
      <c r="Y122" s="11">
        <v>392.12206</v>
      </c>
      <c r="Z122" s="11"/>
      <c r="AA122" s="11"/>
      <c r="AB122" s="11">
        <f t="shared" si="57"/>
        <v>1115.46902</v>
      </c>
      <c r="AC122" s="11">
        <f t="shared" si="58"/>
        <v>0</v>
      </c>
      <c r="AD122" s="11">
        <f t="shared" si="58"/>
        <v>1115.46902</v>
      </c>
      <c r="AE122" s="11">
        <f t="shared" si="58"/>
        <v>0</v>
      </c>
      <c r="AF122" s="11">
        <f t="shared" si="58"/>
        <v>0</v>
      </c>
      <c r="AG122" s="10" t="e">
        <f t="shared" si="59"/>
        <v>#REF!</v>
      </c>
      <c r="AH122" s="11" t="e">
        <f>#REF!-S122</f>
        <v>#REF!</v>
      </c>
      <c r="AI122" s="11" t="e">
        <f>#REF!-T122</f>
        <v>#REF!</v>
      </c>
      <c r="AJ122" s="11" t="e">
        <f>#REF!-U122</f>
        <v>#REF!</v>
      </c>
      <c r="AK122" s="11" t="e">
        <f>#REF!-V122</f>
        <v>#REF!</v>
      </c>
    </row>
    <row r="123" spans="1:37" s="28" customFormat="1" ht="22.5" customHeight="1">
      <c r="A123" s="85">
        <v>96</v>
      </c>
      <c r="B123" s="27" t="s">
        <v>145</v>
      </c>
      <c r="C123" s="134"/>
      <c r="D123" s="134"/>
      <c r="E123" s="134"/>
      <c r="F123" s="134"/>
      <c r="G123" s="134"/>
      <c r="H123" s="37">
        <f t="shared" si="56"/>
        <v>1189.268</v>
      </c>
      <c r="I123" s="11"/>
      <c r="J123" s="11">
        <v>636.788</v>
      </c>
      <c r="K123" s="11"/>
      <c r="L123" s="49">
        <v>552.48</v>
      </c>
      <c r="M123" s="46"/>
      <c r="N123" s="46"/>
      <c r="O123" s="46"/>
      <c r="P123" s="46"/>
      <c r="Q123" s="46"/>
      <c r="R123" s="11">
        <f t="shared" si="60"/>
        <v>1189.268</v>
      </c>
      <c r="S123" s="11"/>
      <c r="T123" s="11">
        <f>636.788</f>
        <v>636.788</v>
      </c>
      <c r="U123" s="11"/>
      <c r="V123" s="11">
        <v>552.48</v>
      </c>
      <c r="W123" s="11">
        <f t="shared" si="61"/>
        <v>446.96900000000005</v>
      </c>
      <c r="X123" s="11"/>
      <c r="Y123" s="11">
        <v>304.175</v>
      </c>
      <c r="Z123" s="11"/>
      <c r="AA123" s="11">
        <v>142.794</v>
      </c>
      <c r="AB123" s="11">
        <f t="shared" si="57"/>
        <v>1636.237</v>
      </c>
      <c r="AC123" s="11">
        <f t="shared" si="58"/>
        <v>0</v>
      </c>
      <c r="AD123" s="11">
        <f t="shared" si="58"/>
        <v>940.963</v>
      </c>
      <c r="AE123" s="11">
        <f t="shared" si="58"/>
        <v>0</v>
      </c>
      <c r="AF123" s="11">
        <f t="shared" si="58"/>
        <v>695.274</v>
      </c>
      <c r="AG123" s="10" t="e">
        <f t="shared" si="59"/>
        <v>#REF!</v>
      </c>
      <c r="AH123" s="11" t="e">
        <f>#REF!-S123</f>
        <v>#REF!</v>
      </c>
      <c r="AI123" s="11" t="e">
        <f>#REF!-T123</f>
        <v>#REF!</v>
      </c>
      <c r="AJ123" s="11" t="e">
        <f>#REF!-U123</f>
        <v>#REF!</v>
      </c>
      <c r="AK123" s="11" t="e">
        <f>#REF!-V123</f>
        <v>#REF!</v>
      </c>
    </row>
    <row r="124" spans="1:37" s="28" customFormat="1" ht="20.25" customHeight="1" hidden="1">
      <c r="A124" s="85"/>
      <c r="B124" s="27" t="s">
        <v>146</v>
      </c>
      <c r="C124" s="134"/>
      <c r="D124" s="134"/>
      <c r="E124" s="134"/>
      <c r="F124" s="134"/>
      <c r="G124" s="134"/>
      <c r="H124" s="37">
        <f t="shared" si="56"/>
        <v>0</v>
      </c>
      <c r="I124" s="11"/>
      <c r="J124" s="11"/>
      <c r="K124" s="11"/>
      <c r="L124" s="49"/>
      <c r="M124" s="46"/>
      <c r="N124" s="46"/>
      <c r="O124" s="46"/>
      <c r="P124" s="46"/>
      <c r="Q124" s="46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>
        <f t="shared" si="57"/>
        <v>0</v>
      </c>
      <c r="AC124" s="11">
        <f t="shared" si="58"/>
        <v>0</v>
      </c>
      <c r="AD124" s="11">
        <f t="shared" si="58"/>
        <v>0</v>
      </c>
      <c r="AE124" s="11">
        <f t="shared" si="58"/>
        <v>0</v>
      </c>
      <c r="AF124" s="11">
        <f t="shared" si="58"/>
        <v>0</v>
      </c>
      <c r="AG124" s="10" t="e">
        <f t="shared" si="59"/>
        <v>#REF!</v>
      </c>
      <c r="AH124" s="11" t="e">
        <f>#REF!-S124</f>
        <v>#REF!</v>
      </c>
      <c r="AI124" s="11" t="e">
        <f>#REF!-T124</f>
        <v>#REF!</v>
      </c>
      <c r="AJ124" s="11" t="e">
        <f>#REF!-U124</f>
        <v>#REF!</v>
      </c>
      <c r="AK124" s="11" t="e">
        <f>#REF!-V124</f>
        <v>#REF!</v>
      </c>
    </row>
    <row r="125" spans="1:37" s="28" customFormat="1" ht="20.25" customHeight="1">
      <c r="A125" s="85">
        <v>97</v>
      </c>
      <c r="B125" s="27" t="s">
        <v>147</v>
      </c>
      <c r="C125" s="134"/>
      <c r="D125" s="134"/>
      <c r="E125" s="134"/>
      <c r="F125" s="134"/>
      <c r="G125" s="134"/>
      <c r="H125" s="37">
        <f t="shared" si="56"/>
        <v>11347.586</v>
      </c>
      <c r="I125" s="11"/>
      <c r="J125" s="11">
        <v>3347.586</v>
      </c>
      <c r="K125" s="11">
        <v>8000</v>
      </c>
      <c r="L125" s="49"/>
      <c r="M125" s="46"/>
      <c r="N125" s="46"/>
      <c r="O125" s="46"/>
      <c r="P125" s="46"/>
      <c r="Q125" s="46"/>
      <c r="R125" s="11">
        <f t="shared" si="60"/>
        <v>11347.586</v>
      </c>
      <c r="S125" s="11"/>
      <c r="T125" s="11">
        <v>3347.586</v>
      </c>
      <c r="U125" s="11">
        <v>8000</v>
      </c>
      <c r="V125" s="11"/>
      <c r="W125" s="11">
        <f t="shared" si="61"/>
        <v>2931.5613</v>
      </c>
      <c r="X125" s="11"/>
      <c r="Y125" s="11">
        <v>737.0703</v>
      </c>
      <c r="Z125" s="11">
        <v>2194.491</v>
      </c>
      <c r="AA125" s="11"/>
      <c r="AB125" s="11">
        <f t="shared" si="57"/>
        <v>14279.1473</v>
      </c>
      <c r="AC125" s="11">
        <f t="shared" si="58"/>
        <v>0</v>
      </c>
      <c r="AD125" s="11">
        <f t="shared" si="58"/>
        <v>4084.6562999999996</v>
      </c>
      <c r="AE125" s="11">
        <f t="shared" si="58"/>
        <v>10194.491</v>
      </c>
      <c r="AF125" s="11">
        <f t="shared" si="58"/>
        <v>0</v>
      </c>
      <c r="AG125" s="10" t="e">
        <f t="shared" si="59"/>
        <v>#REF!</v>
      </c>
      <c r="AH125" s="11" t="e">
        <f>#REF!-S125</f>
        <v>#REF!</v>
      </c>
      <c r="AI125" s="11" t="e">
        <f>#REF!-T125</f>
        <v>#REF!</v>
      </c>
      <c r="AJ125" s="11" t="e">
        <f>#REF!-U125</f>
        <v>#REF!</v>
      </c>
      <c r="AK125" s="11" t="e">
        <f>#REF!-V125</f>
        <v>#REF!</v>
      </c>
    </row>
    <row r="126" spans="1:37" s="28" customFormat="1" ht="20.25" customHeight="1">
      <c r="A126" s="85">
        <v>98</v>
      </c>
      <c r="B126" s="27" t="s">
        <v>148</v>
      </c>
      <c r="C126" s="134"/>
      <c r="D126" s="134"/>
      <c r="E126" s="134"/>
      <c r="F126" s="134"/>
      <c r="G126" s="134"/>
      <c r="H126" s="37">
        <f t="shared" si="56"/>
        <v>3158.545</v>
      </c>
      <c r="I126" s="11"/>
      <c r="J126" s="11">
        <v>3158.545</v>
      </c>
      <c r="K126" s="11"/>
      <c r="L126" s="49"/>
      <c r="M126" s="46"/>
      <c r="N126" s="46"/>
      <c r="O126" s="46"/>
      <c r="P126" s="46"/>
      <c r="Q126" s="46"/>
      <c r="R126" s="11">
        <f t="shared" si="60"/>
        <v>3158.545</v>
      </c>
      <c r="S126" s="11"/>
      <c r="T126" s="11">
        <v>3158.545</v>
      </c>
      <c r="U126" s="11"/>
      <c r="V126" s="11"/>
      <c r="W126" s="11">
        <f t="shared" si="61"/>
        <v>271.026</v>
      </c>
      <c r="X126" s="11"/>
      <c r="Y126" s="11">
        <v>271.026</v>
      </c>
      <c r="Z126" s="11"/>
      <c r="AA126" s="11"/>
      <c r="AB126" s="11">
        <f t="shared" si="57"/>
        <v>3429.571</v>
      </c>
      <c r="AC126" s="11">
        <f t="shared" si="58"/>
        <v>0</v>
      </c>
      <c r="AD126" s="11">
        <f t="shared" si="58"/>
        <v>3429.571</v>
      </c>
      <c r="AE126" s="11">
        <f t="shared" si="58"/>
        <v>0</v>
      </c>
      <c r="AF126" s="11">
        <f t="shared" si="58"/>
        <v>0</v>
      </c>
      <c r="AG126" s="10" t="e">
        <f t="shared" si="59"/>
        <v>#REF!</v>
      </c>
      <c r="AH126" s="11" t="e">
        <f>#REF!-S126</f>
        <v>#REF!</v>
      </c>
      <c r="AI126" s="11" t="e">
        <f>#REF!-T126</f>
        <v>#REF!</v>
      </c>
      <c r="AJ126" s="11" t="e">
        <f>#REF!-U126</f>
        <v>#REF!</v>
      </c>
      <c r="AK126" s="11" t="e">
        <f>#REF!-V126</f>
        <v>#REF!</v>
      </c>
    </row>
    <row r="127" spans="1:37" s="28" customFormat="1" ht="20.25" customHeight="1">
      <c r="A127" s="85">
        <v>99</v>
      </c>
      <c r="B127" s="27" t="s">
        <v>149</v>
      </c>
      <c r="C127" s="134"/>
      <c r="D127" s="134"/>
      <c r="E127" s="134"/>
      <c r="F127" s="134"/>
      <c r="G127" s="134"/>
      <c r="H127" s="37">
        <f t="shared" si="56"/>
        <v>3475.5339999999997</v>
      </c>
      <c r="I127" s="11"/>
      <c r="J127" s="11">
        <f>1212.086+2263.448</f>
        <v>3475.5339999999997</v>
      </c>
      <c r="K127" s="11"/>
      <c r="L127" s="49"/>
      <c r="M127" s="46"/>
      <c r="N127" s="46"/>
      <c r="O127" s="46"/>
      <c r="P127" s="46"/>
      <c r="Q127" s="46"/>
      <c r="R127" s="11">
        <f t="shared" si="60"/>
        <v>2007.9650000000001</v>
      </c>
      <c r="S127" s="11"/>
      <c r="T127" s="11">
        <f>1212.086+795.879</f>
        <v>2007.9650000000001</v>
      </c>
      <c r="U127" s="11"/>
      <c r="V127" s="11"/>
      <c r="W127" s="11">
        <f t="shared" si="61"/>
        <v>516.67367</v>
      </c>
      <c r="X127" s="11"/>
      <c r="Y127" s="11">
        <v>516.67367</v>
      </c>
      <c r="Z127" s="11"/>
      <c r="AA127" s="11"/>
      <c r="AB127" s="11">
        <f t="shared" si="57"/>
        <v>2524.6386700000003</v>
      </c>
      <c r="AC127" s="11">
        <f t="shared" si="58"/>
        <v>0</v>
      </c>
      <c r="AD127" s="11">
        <f t="shared" si="58"/>
        <v>2524.6386700000003</v>
      </c>
      <c r="AE127" s="11">
        <f t="shared" si="58"/>
        <v>0</v>
      </c>
      <c r="AF127" s="11">
        <f t="shared" si="58"/>
        <v>0</v>
      </c>
      <c r="AG127" s="10" t="e">
        <f t="shared" si="59"/>
        <v>#REF!</v>
      </c>
      <c r="AH127" s="11" t="e">
        <f>#REF!-S127</f>
        <v>#REF!</v>
      </c>
      <c r="AI127" s="11" t="e">
        <f>#REF!-T127</f>
        <v>#REF!</v>
      </c>
      <c r="AJ127" s="11" t="e">
        <f>#REF!-U127</f>
        <v>#REF!</v>
      </c>
      <c r="AK127" s="11" t="e">
        <f>#REF!-V127</f>
        <v>#REF!</v>
      </c>
    </row>
    <row r="128" spans="1:37" s="28" customFormat="1" ht="20.25" customHeight="1">
      <c r="A128" s="85">
        <v>100</v>
      </c>
      <c r="B128" s="27" t="s">
        <v>150</v>
      </c>
      <c r="C128" s="134"/>
      <c r="D128" s="134"/>
      <c r="E128" s="134"/>
      <c r="F128" s="134"/>
      <c r="G128" s="134"/>
      <c r="H128" s="37">
        <f t="shared" si="56"/>
        <v>521.383</v>
      </c>
      <c r="I128" s="11"/>
      <c r="J128" s="11">
        <v>279.172</v>
      </c>
      <c r="K128" s="11"/>
      <c r="L128" s="49">
        <v>242.211</v>
      </c>
      <c r="M128" s="46"/>
      <c r="N128" s="46"/>
      <c r="O128" s="46"/>
      <c r="P128" s="46"/>
      <c r="Q128" s="46"/>
      <c r="R128" s="11">
        <f t="shared" si="60"/>
        <v>500.42</v>
      </c>
      <c r="S128" s="11"/>
      <c r="T128" s="11">
        <v>267.605</v>
      </c>
      <c r="U128" s="11"/>
      <c r="V128" s="11">
        <v>232.815</v>
      </c>
      <c r="W128" s="11">
        <f t="shared" si="61"/>
        <v>47.58</v>
      </c>
      <c r="X128" s="11"/>
      <c r="Y128" s="11">
        <v>31.395</v>
      </c>
      <c r="Z128" s="11"/>
      <c r="AA128" s="11">
        <v>16.185</v>
      </c>
      <c r="AB128" s="11">
        <f t="shared" si="57"/>
        <v>548</v>
      </c>
      <c r="AC128" s="11">
        <f t="shared" si="58"/>
        <v>0</v>
      </c>
      <c r="AD128" s="11">
        <f t="shared" si="58"/>
        <v>299</v>
      </c>
      <c r="AE128" s="11">
        <f t="shared" si="58"/>
        <v>0</v>
      </c>
      <c r="AF128" s="11">
        <f t="shared" si="58"/>
        <v>249</v>
      </c>
      <c r="AG128" s="10" t="e">
        <f t="shared" si="59"/>
        <v>#REF!</v>
      </c>
      <c r="AH128" s="11" t="e">
        <f>#REF!-S128</f>
        <v>#REF!</v>
      </c>
      <c r="AI128" s="11" t="e">
        <f>#REF!-T128</f>
        <v>#REF!</v>
      </c>
      <c r="AJ128" s="11" t="e">
        <f>#REF!-U128</f>
        <v>#REF!</v>
      </c>
      <c r="AK128" s="11" t="e">
        <f>#REF!-V128</f>
        <v>#REF!</v>
      </c>
    </row>
    <row r="129" spans="1:37" s="28" customFormat="1" ht="20.25" customHeight="1">
      <c r="A129" s="85">
        <v>101</v>
      </c>
      <c r="B129" s="27" t="s">
        <v>151</v>
      </c>
      <c r="C129" s="134"/>
      <c r="D129" s="134"/>
      <c r="E129" s="134"/>
      <c r="F129" s="134"/>
      <c r="G129" s="134"/>
      <c r="H129" s="37">
        <f t="shared" si="56"/>
        <v>1080.7069999999999</v>
      </c>
      <c r="I129" s="11"/>
      <c r="J129" s="11">
        <v>578.66</v>
      </c>
      <c r="K129" s="11"/>
      <c r="L129" s="49">
        <v>502.047</v>
      </c>
      <c r="M129" s="46"/>
      <c r="N129" s="46"/>
      <c r="O129" s="46"/>
      <c r="P129" s="46"/>
      <c r="Q129" s="46"/>
      <c r="R129" s="11">
        <f t="shared" si="60"/>
        <v>1064.4964</v>
      </c>
      <c r="S129" s="11"/>
      <c r="T129" s="11">
        <f>569.9801</f>
        <v>569.9801</v>
      </c>
      <c r="U129" s="11"/>
      <c r="V129" s="11">
        <f>494.5163</f>
        <v>494.5163</v>
      </c>
      <c r="W129" s="11">
        <f t="shared" si="61"/>
        <v>74.40995000000001</v>
      </c>
      <c r="X129" s="11"/>
      <c r="Y129" s="11">
        <v>39.73687</v>
      </c>
      <c r="Z129" s="11"/>
      <c r="AA129" s="11">
        <v>34.67308</v>
      </c>
      <c r="AB129" s="11">
        <f t="shared" si="57"/>
        <v>1138.90635</v>
      </c>
      <c r="AC129" s="11">
        <f t="shared" si="58"/>
        <v>0</v>
      </c>
      <c r="AD129" s="11">
        <f t="shared" si="58"/>
        <v>609.71697</v>
      </c>
      <c r="AE129" s="11">
        <f t="shared" si="58"/>
        <v>0</v>
      </c>
      <c r="AF129" s="11">
        <f t="shared" si="58"/>
        <v>529.18938</v>
      </c>
      <c r="AG129" s="10" t="e">
        <f t="shared" si="59"/>
        <v>#REF!</v>
      </c>
      <c r="AH129" s="11" t="e">
        <f>#REF!-S129</f>
        <v>#REF!</v>
      </c>
      <c r="AI129" s="11" t="e">
        <f>#REF!-T129</f>
        <v>#REF!</v>
      </c>
      <c r="AJ129" s="11" t="e">
        <f>#REF!-U129</f>
        <v>#REF!</v>
      </c>
      <c r="AK129" s="11" t="e">
        <f>#REF!-V129</f>
        <v>#REF!</v>
      </c>
    </row>
    <row r="130" spans="1:37" s="28" customFormat="1" ht="20.25" customHeight="1" hidden="1">
      <c r="A130" s="85"/>
      <c r="B130" s="27" t="s">
        <v>152</v>
      </c>
      <c r="C130" s="134"/>
      <c r="D130" s="134"/>
      <c r="E130" s="134"/>
      <c r="F130" s="134"/>
      <c r="G130" s="134"/>
      <c r="H130" s="37">
        <f t="shared" si="56"/>
        <v>0</v>
      </c>
      <c r="I130" s="11"/>
      <c r="J130" s="11"/>
      <c r="K130" s="11"/>
      <c r="L130" s="49"/>
      <c r="M130" s="46"/>
      <c r="N130" s="46"/>
      <c r="O130" s="46"/>
      <c r="P130" s="46"/>
      <c r="Q130" s="46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>
        <f t="shared" si="57"/>
        <v>0</v>
      </c>
      <c r="AC130" s="11">
        <f t="shared" si="58"/>
        <v>0</v>
      </c>
      <c r="AD130" s="11">
        <f t="shared" si="58"/>
        <v>0</v>
      </c>
      <c r="AE130" s="11">
        <f t="shared" si="58"/>
        <v>0</v>
      </c>
      <c r="AF130" s="11">
        <f t="shared" si="58"/>
        <v>0</v>
      </c>
      <c r="AG130" s="10" t="e">
        <f t="shared" si="59"/>
        <v>#REF!</v>
      </c>
      <c r="AH130" s="11" t="e">
        <f>#REF!-S130</f>
        <v>#REF!</v>
      </c>
      <c r="AI130" s="11" t="e">
        <f>#REF!-T130</f>
        <v>#REF!</v>
      </c>
      <c r="AJ130" s="11" t="e">
        <f>#REF!-U130</f>
        <v>#REF!</v>
      </c>
      <c r="AK130" s="11" t="e">
        <f>#REF!-V130</f>
        <v>#REF!</v>
      </c>
    </row>
    <row r="131" spans="1:37" s="28" customFormat="1" ht="24" customHeight="1">
      <c r="A131" s="85">
        <v>102</v>
      </c>
      <c r="B131" s="27" t="s">
        <v>153</v>
      </c>
      <c r="C131" s="134"/>
      <c r="D131" s="134"/>
      <c r="E131" s="134"/>
      <c r="F131" s="134"/>
      <c r="G131" s="134"/>
      <c r="H131" s="37">
        <f t="shared" si="56"/>
        <v>1463.5710000000001</v>
      </c>
      <c r="I131" s="11"/>
      <c r="J131" s="11">
        <v>375.307</v>
      </c>
      <c r="K131" s="11"/>
      <c r="L131" s="49">
        <f>325.617+762.647</f>
        <v>1088.2640000000001</v>
      </c>
      <c r="M131" s="46"/>
      <c r="N131" s="46"/>
      <c r="O131" s="46"/>
      <c r="P131" s="46"/>
      <c r="Q131" s="46"/>
      <c r="R131" s="11">
        <f t="shared" si="60"/>
        <v>1463.5710000000001</v>
      </c>
      <c r="S131" s="11"/>
      <c r="T131" s="11">
        <v>375.307</v>
      </c>
      <c r="U131" s="11"/>
      <c r="V131" s="11">
        <f>762.647+325.617</f>
        <v>1088.2640000000001</v>
      </c>
      <c r="W131" s="11">
        <f t="shared" si="61"/>
        <v>962.38707</v>
      </c>
      <c r="X131" s="11"/>
      <c r="Y131" s="11">
        <v>107.06883</v>
      </c>
      <c r="Z131" s="11"/>
      <c r="AA131" s="11">
        <v>855.31824</v>
      </c>
      <c r="AB131" s="11">
        <f t="shared" si="57"/>
        <v>2425.95807</v>
      </c>
      <c r="AC131" s="11">
        <f t="shared" si="58"/>
        <v>0</v>
      </c>
      <c r="AD131" s="11">
        <f t="shared" si="58"/>
        <v>482.37583</v>
      </c>
      <c r="AE131" s="11">
        <f t="shared" si="58"/>
        <v>0</v>
      </c>
      <c r="AF131" s="11">
        <f t="shared" si="58"/>
        <v>1943.5822400000002</v>
      </c>
      <c r="AG131" s="10" t="e">
        <f t="shared" si="59"/>
        <v>#REF!</v>
      </c>
      <c r="AH131" s="11" t="e">
        <f>#REF!-S131</f>
        <v>#REF!</v>
      </c>
      <c r="AI131" s="11" t="e">
        <f>#REF!-T131</f>
        <v>#REF!</v>
      </c>
      <c r="AJ131" s="11" t="e">
        <f>#REF!-U131</f>
        <v>#REF!</v>
      </c>
      <c r="AK131" s="11" t="e">
        <f>#REF!-V131</f>
        <v>#REF!</v>
      </c>
    </row>
    <row r="132" spans="1:37" s="28" customFormat="1" ht="20.25" customHeight="1">
      <c r="A132" s="4"/>
      <c r="B132" s="1" t="s">
        <v>25</v>
      </c>
      <c r="C132" s="132"/>
      <c r="D132" s="132"/>
      <c r="E132" s="132"/>
      <c r="F132" s="132"/>
      <c r="G132" s="132"/>
      <c r="H132" s="39">
        <f>SUM(H133:H146)</f>
        <v>44676.196</v>
      </c>
      <c r="I132" s="7">
        <f>SUM(I133:I146)</f>
        <v>0</v>
      </c>
      <c r="J132" s="7">
        <f>SUM(J133:J146)</f>
        <v>39075.39</v>
      </c>
      <c r="K132" s="7">
        <f>SUM(K133:K146)</f>
        <v>0</v>
      </c>
      <c r="L132" s="40">
        <f>SUM(L133:L146)</f>
        <v>5600.806</v>
      </c>
      <c r="M132" s="41"/>
      <c r="N132" s="41"/>
      <c r="O132" s="41"/>
      <c r="P132" s="41"/>
      <c r="Q132" s="41"/>
      <c r="R132" s="7">
        <f>SUM(R133:R146)</f>
        <v>41873.55438</v>
      </c>
      <c r="S132" s="7">
        <f>SUM(S133:S146)</f>
        <v>0</v>
      </c>
      <c r="T132" s="7">
        <f>SUM(T133:T146)</f>
        <v>36650.565149999995</v>
      </c>
      <c r="U132" s="7">
        <f>SUM(U133:U146)</f>
        <v>0</v>
      </c>
      <c r="V132" s="7">
        <f>SUM(V133:V146)</f>
        <v>5222.98923</v>
      </c>
      <c r="W132" s="7">
        <f aca="true" t="shared" si="62" ref="W132:AK132">SUM(W133:W146)</f>
        <v>7489.20375</v>
      </c>
      <c r="X132" s="7">
        <f t="shared" si="62"/>
        <v>0</v>
      </c>
      <c r="Y132" s="7">
        <f t="shared" si="62"/>
        <v>4255.43186</v>
      </c>
      <c r="Z132" s="7">
        <f t="shared" si="62"/>
        <v>0</v>
      </c>
      <c r="AA132" s="7">
        <f t="shared" si="62"/>
        <v>3233.77189</v>
      </c>
      <c r="AB132" s="7">
        <f t="shared" si="62"/>
        <v>49362.758129999995</v>
      </c>
      <c r="AC132" s="7">
        <f t="shared" si="62"/>
        <v>0</v>
      </c>
      <c r="AD132" s="7">
        <f t="shared" si="62"/>
        <v>40905.99701</v>
      </c>
      <c r="AE132" s="7">
        <f t="shared" si="62"/>
        <v>0</v>
      </c>
      <c r="AF132" s="7">
        <f t="shared" si="62"/>
        <v>8456.761120000001</v>
      </c>
      <c r="AG132" s="20" t="e">
        <f t="shared" si="62"/>
        <v>#REF!</v>
      </c>
      <c r="AH132" s="7" t="e">
        <f t="shared" si="62"/>
        <v>#REF!</v>
      </c>
      <c r="AI132" s="7" t="e">
        <f t="shared" si="62"/>
        <v>#REF!</v>
      </c>
      <c r="AJ132" s="7" t="e">
        <f t="shared" si="62"/>
        <v>#REF!</v>
      </c>
      <c r="AK132" s="7" t="e">
        <f t="shared" si="62"/>
        <v>#REF!</v>
      </c>
    </row>
    <row r="133" spans="1:37" s="28" customFormat="1" ht="20.25" customHeight="1">
      <c r="A133" s="85">
        <v>103</v>
      </c>
      <c r="B133" s="27" t="s">
        <v>154</v>
      </c>
      <c r="C133" s="134"/>
      <c r="D133" s="134"/>
      <c r="E133" s="134"/>
      <c r="F133" s="134"/>
      <c r="G133" s="134"/>
      <c r="H133" s="37">
        <f aca="true" t="shared" si="63" ref="H133:H146">I133+J133+K133+L133</f>
        <v>1268.75</v>
      </c>
      <c r="I133" s="11"/>
      <c r="J133" s="11">
        <f>680.516-1.092</f>
        <v>679.424</v>
      </c>
      <c r="K133" s="11"/>
      <c r="L133" s="49">
        <f>590.418-1.092</f>
        <v>589.326</v>
      </c>
      <c r="M133" s="46"/>
      <c r="N133" s="46"/>
      <c r="O133" s="46"/>
      <c r="P133" s="46"/>
      <c r="Q133" s="46"/>
      <c r="R133" s="11">
        <f aca="true" t="shared" si="64" ref="R133:R146">S133+T133+U133+V133</f>
        <v>1268.75</v>
      </c>
      <c r="S133" s="11"/>
      <c r="T133" s="11">
        <v>679.424</v>
      </c>
      <c r="U133" s="11"/>
      <c r="V133" s="11">
        <v>589.326</v>
      </c>
      <c r="W133" s="11">
        <f aca="true" t="shared" si="65" ref="W133:W146">X133+Y133+Z133+AA133</f>
        <v>66.8176</v>
      </c>
      <c r="X133" s="11"/>
      <c r="Y133" s="11">
        <v>35.76011</v>
      </c>
      <c r="Z133" s="11"/>
      <c r="AA133" s="11">
        <v>31.05749</v>
      </c>
      <c r="AB133" s="11">
        <f aca="true" t="shared" si="66" ref="AB133:AB146">AC133+AD133+AE133+AF133</f>
        <v>1335.5675999999999</v>
      </c>
      <c r="AC133" s="11">
        <f aca="true" t="shared" si="67" ref="AC133:AF146">S133+X133</f>
        <v>0</v>
      </c>
      <c r="AD133" s="11">
        <f t="shared" si="67"/>
        <v>715.1841099999999</v>
      </c>
      <c r="AE133" s="11">
        <f t="shared" si="67"/>
        <v>0</v>
      </c>
      <c r="AF133" s="11">
        <f t="shared" si="67"/>
        <v>620.38349</v>
      </c>
      <c r="AG133" s="10" t="e">
        <f aca="true" t="shared" si="68" ref="AG133:AG146">AH133+AI133+AJ133+AK133</f>
        <v>#REF!</v>
      </c>
      <c r="AH133" s="11" t="e">
        <f>#REF!-S133</f>
        <v>#REF!</v>
      </c>
      <c r="AI133" s="11" t="e">
        <f>#REF!-T133</f>
        <v>#REF!</v>
      </c>
      <c r="AJ133" s="11" t="e">
        <f>#REF!-U133</f>
        <v>#REF!</v>
      </c>
      <c r="AK133" s="11" t="e">
        <f>#REF!-V133</f>
        <v>#REF!</v>
      </c>
    </row>
    <row r="134" spans="1:37" s="28" customFormat="1" ht="20.25" customHeight="1">
      <c r="A134" s="85">
        <v>104</v>
      </c>
      <c r="B134" s="27" t="s">
        <v>155</v>
      </c>
      <c r="C134" s="134"/>
      <c r="D134" s="134"/>
      <c r="E134" s="134"/>
      <c r="F134" s="134"/>
      <c r="G134" s="134"/>
      <c r="H134" s="37">
        <f t="shared" si="63"/>
        <v>775.621</v>
      </c>
      <c r="I134" s="11"/>
      <c r="J134" s="11">
        <v>415.303</v>
      </c>
      <c r="K134" s="11"/>
      <c r="L134" s="49">
        <v>360.318</v>
      </c>
      <c r="M134" s="46"/>
      <c r="N134" s="46"/>
      <c r="O134" s="46"/>
      <c r="P134" s="46"/>
      <c r="Q134" s="46"/>
      <c r="R134" s="11">
        <f t="shared" si="64"/>
        <v>415.303</v>
      </c>
      <c r="S134" s="11"/>
      <c r="T134" s="11">
        <v>415.303</v>
      </c>
      <c r="U134" s="11"/>
      <c r="V134" s="11"/>
      <c r="W134" s="11">
        <f t="shared" si="65"/>
        <v>441.86185</v>
      </c>
      <c r="X134" s="11"/>
      <c r="Y134" s="11">
        <v>441.86185</v>
      </c>
      <c r="Z134" s="11"/>
      <c r="AA134" s="11"/>
      <c r="AB134" s="11">
        <f t="shared" si="66"/>
        <v>857.16485</v>
      </c>
      <c r="AC134" s="11">
        <f t="shared" si="67"/>
        <v>0</v>
      </c>
      <c r="AD134" s="11">
        <f t="shared" si="67"/>
        <v>857.16485</v>
      </c>
      <c r="AE134" s="11">
        <f t="shared" si="67"/>
        <v>0</v>
      </c>
      <c r="AF134" s="11">
        <f t="shared" si="67"/>
        <v>0</v>
      </c>
      <c r="AG134" s="10" t="e">
        <f t="shared" si="68"/>
        <v>#REF!</v>
      </c>
      <c r="AH134" s="11" t="e">
        <f>#REF!-S134</f>
        <v>#REF!</v>
      </c>
      <c r="AI134" s="11" t="e">
        <f>#REF!-T134</f>
        <v>#REF!</v>
      </c>
      <c r="AJ134" s="11" t="e">
        <f>#REF!-U134</f>
        <v>#REF!</v>
      </c>
      <c r="AK134" s="11" t="e">
        <f>#REF!-V134</f>
        <v>#REF!</v>
      </c>
    </row>
    <row r="135" spans="1:37" s="28" customFormat="1" ht="20.25" customHeight="1">
      <c r="A135" s="85">
        <v>105</v>
      </c>
      <c r="B135" s="27" t="s">
        <v>156</v>
      </c>
      <c r="C135" s="134"/>
      <c r="D135" s="134"/>
      <c r="E135" s="134"/>
      <c r="F135" s="134"/>
      <c r="G135" s="134"/>
      <c r="H135" s="37">
        <f t="shared" si="63"/>
        <v>934.5129999999999</v>
      </c>
      <c r="I135" s="11"/>
      <c r="J135" s="11">
        <v>500.381</v>
      </c>
      <c r="K135" s="11"/>
      <c r="L135" s="49">
        <v>434.132</v>
      </c>
      <c r="M135" s="46"/>
      <c r="N135" s="46"/>
      <c r="O135" s="46"/>
      <c r="P135" s="46"/>
      <c r="Q135" s="46"/>
      <c r="R135" s="11">
        <f t="shared" si="64"/>
        <v>934.5129999999999</v>
      </c>
      <c r="S135" s="11"/>
      <c r="T135" s="11">
        <v>500.381</v>
      </c>
      <c r="U135" s="11"/>
      <c r="V135" s="11">
        <v>434.132</v>
      </c>
      <c r="W135" s="11">
        <f t="shared" si="65"/>
        <v>767.23</v>
      </c>
      <c r="X135" s="11"/>
      <c r="Y135" s="11">
        <v>306.828</v>
      </c>
      <c r="Z135" s="11"/>
      <c r="AA135" s="11">
        <v>460.402</v>
      </c>
      <c r="AB135" s="11">
        <f t="shared" si="66"/>
        <v>1701.743</v>
      </c>
      <c r="AC135" s="11">
        <f t="shared" si="67"/>
        <v>0</v>
      </c>
      <c r="AD135" s="11">
        <f t="shared" si="67"/>
        <v>807.209</v>
      </c>
      <c r="AE135" s="11">
        <f t="shared" si="67"/>
        <v>0</v>
      </c>
      <c r="AF135" s="11">
        <f t="shared" si="67"/>
        <v>894.534</v>
      </c>
      <c r="AG135" s="10" t="e">
        <f t="shared" si="68"/>
        <v>#REF!</v>
      </c>
      <c r="AH135" s="11" t="e">
        <f>#REF!-S135</f>
        <v>#REF!</v>
      </c>
      <c r="AI135" s="11" t="e">
        <f>#REF!-T135</f>
        <v>#REF!</v>
      </c>
      <c r="AJ135" s="11" t="e">
        <f>#REF!-U135</f>
        <v>#REF!</v>
      </c>
      <c r="AK135" s="11" t="e">
        <f>#REF!-V135</f>
        <v>#REF!</v>
      </c>
    </row>
    <row r="136" spans="1:37" s="28" customFormat="1" ht="20.25" customHeight="1">
      <c r="A136" s="85">
        <v>106</v>
      </c>
      <c r="B136" s="27" t="s">
        <v>157</v>
      </c>
      <c r="C136" s="134"/>
      <c r="D136" s="134"/>
      <c r="E136" s="134"/>
      <c r="F136" s="134"/>
      <c r="G136" s="134"/>
      <c r="H136" s="37">
        <f t="shared" si="63"/>
        <v>4163.509</v>
      </c>
      <c r="I136" s="11"/>
      <c r="J136" s="11">
        <v>2231.938</v>
      </c>
      <c r="K136" s="11"/>
      <c r="L136" s="49">
        <v>1931.571</v>
      </c>
      <c r="M136" s="46"/>
      <c r="N136" s="46"/>
      <c r="O136" s="46"/>
      <c r="P136" s="46"/>
      <c r="Q136" s="46"/>
      <c r="R136" s="11">
        <f t="shared" si="64"/>
        <v>4141.56167</v>
      </c>
      <c r="S136" s="11"/>
      <c r="T136" s="11">
        <f>2220.18506</f>
        <v>2220.18506</v>
      </c>
      <c r="U136" s="11"/>
      <c r="V136" s="11">
        <f>1921.37661</f>
        <v>1921.37661</v>
      </c>
      <c r="W136" s="11">
        <f t="shared" si="65"/>
        <v>225.957</v>
      </c>
      <c r="X136" s="11"/>
      <c r="Y136" s="11">
        <v>118.65</v>
      </c>
      <c r="Z136" s="11"/>
      <c r="AA136" s="11">
        <v>107.307</v>
      </c>
      <c r="AB136" s="11">
        <f t="shared" si="66"/>
        <v>4367.5186699999995</v>
      </c>
      <c r="AC136" s="11">
        <f t="shared" si="67"/>
        <v>0</v>
      </c>
      <c r="AD136" s="11">
        <f t="shared" si="67"/>
        <v>2338.83506</v>
      </c>
      <c r="AE136" s="11">
        <f t="shared" si="67"/>
        <v>0</v>
      </c>
      <c r="AF136" s="11">
        <f t="shared" si="67"/>
        <v>2028.68361</v>
      </c>
      <c r="AG136" s="10" t="e">
        <f t="shared" si="68"/>
        <v>#REF!</v>
      </c>
      <c r="AH136" s="11" t="e">
        <f>#REF!-S136</f>
        <v>#REF!</v>
      </c>
      <c r="AI136" s="11" t="e">
        <f>#REF!-T136</f>
        <v>#REF!</v>
      </c>
      <c r="AJ136" s="11" t="e">
        <f>#REF!-U136</f>
        <v>#REF!</v>
      </c>
      <c r="AK136" s="11" t="e">
        <f>#REF!-V136</f>
        <v>#REF!</v>
      </c>
    </row>
    <row r="137" spans="1:37" s="28" customFormat="1" ht="20.25" customHeight="1">
      <c r="A137" s="85">
        <v>107</v>
      </c>
      <c r="B137" s="27" t="s">
        <v>158</v>
      </c>
      <c r="C137" s="134"/>
      <c r="D137" s="134"/>
      <c r="E137" s="134"/>
      <c r="F137" s="134"/>
      <c r="G137" s="134"/>
      <c r="H137" s="37">
        <f t="shared" si="63"/>
        <v>16211.313</v>
      </c>
      <c r="I137" s="11"/>
      <c r="J137" s="11">
        <v>16211.313</v>
      </c>
      <c r="K137" s="11"/>
      <c r="L137" s="49"/>
      <c r="M137" s="46"/>
      <c r="N137" s="46"/>
      <c r="O137" s="46"/>
      <c r="P137" s="46"/>
      <c r="Q137" s="46"/>
      <c r="R137" s="11">
        <f t="shared" si="64"/>
        <v>14137.72944</v>
      </c>
      <c r="S137" s="11"/>
      <c r="T137" s="11">
        <v>14137.72944</v>
      </c>
      <c r="U137" s="11"/>
      <c r="V137" s="11"/>
      <c r="W137" s="11">
        <f t="shared" si="65"/>
        <v>907.4837</v>
      </c>
      <c r="X137" s="11"/>
      <c r="Y137" s="11">
        <v>907.4837</v>
      </c>
      <c r="Z137" s="11"/>
      <c r="AA137" s="11"/>
      <c r="AB137" s="11">
        <f t="shared" si="66"/>
        <v>15045.21314</v>
      </c>
      <c r="AC137" s="11">
        <f t="shared" si="67"/>
        <v>0</v>
      </c>
      <c r="AD137" s="11">
        <f t="shared" si="67"/>
        <v>15045.21314</v>
      </c>
      <c r="AE137" s="11">
        <f t="shared" si="67"/>
        <v>0</v>
      </c>
      <c r="AF137" s="11">
        <f t="shared" si="67"/>
        <v>0</v>
      </c>
      <c r="AG137" s="10" t="e">
        <f t="shared" si="68"/>
        <v>#REF!</v>
      </c>
      <c r="AH137" s="11" t="e">
        <f>#REF!-S137</f>
        <v>#REF!</v>
      </c>
      <c r="AI137" s="11" t="e">
        <f>#REF!-T137</f>
        <v>#REF!</v>
      </c>
      <c r="AJ137" s="11" t="e">
        <f>#REF!-U137</f>
        <v>#REF!</v>
      </c>
      <c r="AK137" s="11" t="e">
        <f>#REF!-V137</f>
        <v>#REF!</v>
      </c>
    </row>
    <row r="138" spans="1:37" s="28" customFormat="1" ht="20.25" customHeight="1">
      <c r="A138" s="85">
        <v>108</v>
      </c>
      <c r="B138" s="27" t="s">
        <v>159</v>
      </c>
      <c r="C138" s="134"/>
      <c r="D138" s="134"/>
      <c r="E138" s="134"/>
      <c r="F138" s="134"/>
      <c r="G138" s="134"/>
      <c r="H138" s="37">
        <f t="shared" si="63"/>
        <v>4584.036</v>
      </c>
      <c r="I138" s="11"/>
      <c r="J138" s="11">
        <v>4584.036</v>
      </c>
      <c r="K138" s="11"/>
      <c r="L138" s="49"/>
      <c r="M138" s="46"/>
      <c r="N138" s="46"/>
      <c r="O138" s="46"/>
      <c r="P138" s="46"/>
      <c r="Q138" s="46"/>
      <c r="R138" s="11">
        <f t="shared" si="64"/>
        <v>4556.61726</v>
      </c>
      <c r="S138" s="11"/>
      <c r="T138" s="11">
        <f>2353.06989+2203.54737</f>
        <v>4556.61726</v>
      </c>
      <c r="U138" s="11"/>
      <c r="V138" s="11"/>
      <c r="W138" s="11">
        <f t="shared" si="65"/>
        <v>899.63538</v>
      </c>
      <c r="X138" s="11"/>
      <c r="Y138" s="11">
        <v>899.63538</v>
      </c>
      <c r="Z138" s="11"/>
      <c r="AA138" s="11"/>
      <c r="AB138" s="11">
        <f t="shared" si="66"/>
        <v>5456.25264</v>
      </c>
      <c r="AC138" s="11">
        <f t="shared" si="67"/>
        <v>0</v>
      </c>
      <c r="AD138" s="11">
        <f t="shared" si="67"/>
        <v>5456.25264</v>
      </c>
      <c r="AE138" s="11">
        <f t="shared" si="67"/>
        <v>0</v>
      </c>
      <c r="AF138" s="11">
        <f t="shared" si="67"/>
        <v>0</v>
      </c>
      <c r="AG138" s="10" t="e">
        <f t="shared" si="68"/>
        <v>#REF!</v>
      </c>
      <c r="AH138" s="11" t="e">
        <f>#REF!-S138</f>
        <v>#REF!</v>
      </c>
      <c r="AI138" s="11" t="e">
        <f>#REF!-T138</f>
        <v>#REF!</v>
      </c>
      <c r="AJ138" s="11" t="e">
        <f>#REF!-U138</f>
        <v>#REF!</v>
      </c>
      <c r="AK138" s="11" t="e">
        <f>#REF!-V138</f>
        <v>#REF!</v>
      </c>
    </row>
    <row r="139" spans="1:37" s="28" customFormat="1" ht="20.25" customHeight="1">
      <c r="A139" s="85">
        <v>109</v>
      </c>
      <c r="B139" s="27" t="s">
        <v>160</v>
      </c>
      <c r="C139" s="134"/>
      <c r="D139" s="134"/>
      <c r="E139" s="134"/>
      <c r="F139" s="134"/>
      <c r="G139" s="134"/>
      <c r="H139" s="37">
        <f t="shared" si="63"/>
        <v>1472.794</v>
      </c>
      <c r="I139" s="11"/>
      <c r="J139" s="11">
        <v>1472.794</v>
      </c>
      <c r="K139" s="11"/>
      <c r="L139" s="49"/>
      <c r="M139" s="46"/>
      <c r="N139" s="46"/>
      <c r="O139" s="46"/>
      <c r="P139" s="46"/>
      <c r="Q139" s="46"/>
      <c r="R139" s="11">
        <f t="shared" si="64"/>
        <v>1465.43003</v>
      </c>
      <c r="S139" s="11"/>
      <c r="T139" s="11">
        <f>1465.43003</f>
        <v>1465.43003</v>
      </c>
      <c r="U139" s="11"/>
      <c r="V139" s="11"/>
      <c r="W139" s="11">
        <f t="shared" si="65"/>
        <v>78.75425</v>
      </c>
      <c r="X139" s="11"/>
      <c r="Y139" s="11">
        <v>78.75425</v>
      </c>
      <c r="Z139" s="11"/>
      <c r="AA139" s="11"/>
      <c r="AB139" s="11">
        <f t="shared" si="66"/>
        <v>1544.18428</v>
      </c>
      <c r="AC139" s="11">
        <f t="shared" si="67"/>
        <v>0</v>
      </c>
      <c r="AD139" s="11">
        <f t="shared" si="67"/>
        <v>1544.18428</v>
      </c>
      <c r="AE139" s="11">
        <f t="shared" si="67"/>
        <v>0</v>
      </c>
      <c r="AF139" s="11">
        <f t="shared" si="67"/>
        <v>0</v>
      </c>
      <c r="AG139" s="10" t="e">
        <f t="shared" si="68"/>
        <v>#REF!</v>
      </c>
      <c r="AH139" s="11" t="e">
        <f>#REF!-S139</f>
        <v>#REF!</v>
      </c>
      <c r="AI139" s="11" t="e">
        <f>#REF!-T139</f>
        <v>#REF!</v>
      </c>
      <c r="AJ139" s="11" t="e">
        <f>#REF!-U139</f>
        <v>#REF!</v>
      </c>
      <c r="AK139" s="11" t="e">
        <f>#REF!-V139</f>
        <v>#REF!</v>
      </c>
    </row>
    <row r="140" spans="1:37" s="28" customFormat="1" ht="20.25" customHeight="1">
      <c r="A140" s="85">
        <v>110</v>
      </c>
      <c r="B140" s="27" t="s">
        <v>161</v>
      </c>
      <c r="C140" s="134"/>
      <c r="D140" s="134"/>
      <c r="E140" s="134"/>
      <c r="F140" s="134"/>
      <c r="G140" s="134"/>
      <c r="H140" s="37">
        <f t="shared" si="63"/>
        <v>2981.172</v>
      </c>
      <c r="I140" s="11"/>
      <c r="J140" s="11">
        <v>1596.255</v>
      </c>
      <c r="K140" s="11"/>
      <c r="L140" s="49">
        <v>1384.917</v>
      </c>
      <c r="M140" s="46"/>
      <c r="N140" s="46"/>
      <c r="O140" s="46"/>
      <c r="P140" s="46"/>
      <c r="Q140" s="46"/>
      <c r="R140" s="11">
        <f t="shared" si="64"/>
        <v>2702.50411</v>
      </c>
      <c r="S140" s="11"/>
      <c r="T140" s="11">
        <f>1324.89149</f>
        <v>1324.89149</v>
      </c>
      <c r="U140" s="11"/>
      <c r="V140" s="11">
        <f>1377.61262</f>
        <v>1377.61262</v>
      </c>
      <c r="W140" s="11">
        <f t="shared" si="65"/>
        <v>147.25997</v>
      </c>
      <c r="X140" s="11"/>
      <c r="Y140" s="11">
        <v>71.30197</v>
      </c>
      <c r="Z140" s="11"/>
      <c r="AA140" s="11">
        <v>75.958</v>
      </c>
      <c r="AB140" s="11">
        <f t="shared" si="66"/>
        <v>2849.76408</v>
      </c>
      <c r="AC140" s="11">
        <f t="shared" si="67"/>
        <v>0</v>
      </c>
      <c r="AD140" s="11">
        <f t="shared" si="67"/>
        <v>1396.19346</v>
      </c>
      <c r="AE140" s="11">
        <f t="shared" si="67"/>
        <v>0</v>
      </c>
      <c r="AF140" s="11">
        <f t="shared" si="67"/>
        <v>1453.5706200000002</v>
      </c>
      <c r="AG140" s="10" t="e">
        <f t="shared" si="68"/>
        <v>#REF!</v>
      </c>
      <c r="AH140" s="11" t="e">
        <f>#REF!-S140</f>
        <v>#REF!</v>
      </c>
      <c r="AI140" s="11" t="e">
        <f>#REF!-T140</f>
        <v>#REF!</v>
      </c>
      <c r="AJ140" s="11" t="e">
        <f>#REF!-U140</f>
        <v>#REF!</v>
      </c>
      <c r="AK140" s="11" t="e">
        <f>#REF!-V140</f>
        <v>#REF!</v>
      </c>
    </row>
    <row r="141" spans="1:37" s="28" customFormat="1" ht="20.25" customHeight="1">
      <c r="A141" s="85">
        <v>111</v>
      </c>
      <c r="B141" s="27" t="s">
        <v>162</v>
      </c>
      <c r="C141" s="134"/>
      <c r="D141" s="134"/>
      <c r="E141" s="134"/>
      <c r="F141" s="134"/>
      <c r="G141" s="134"/>
      <c r="H141" s="37">
        <f t="shared" si="63"/>
        <v>967.913</v>
      </c>
      <c r="I141" s="11"/>
      <c r="J141" s="11">
        <v>518.265</v>
      </c>
      <c r="K141" s="11"/>
      <c r="L141" s="49">
        <v>449.648</v>
      </c>
      <c r="M141" s="46"/>
      <c r="N141" s="46"/>
      <c r="O141" s="46"/>
      <c r="P141" s="46"/>
      <c r="Q141" s="46"/>
      <c r="R141" s="11">
        <f t="shared" si="64"/>
        <v>967.913</v>
      </c>
      <c r="S141" s="11"/>
      <c r="T141" s="11">
        <v>518.265</v>
      </c>
      <c r="U141" s="11"/>
      <c r="V141" s="11">
        <v>449.648</v>
      </c>
      <c r="W141" s="11">
        <f t="shared" si="65"/>
        <v>528.55107</v>
      </c>
      <c r="X141" s="11"/>
      <c r="Y141" s="11">
        <v>74.00974</v>
      </c>
      <c r="Z141" s="11"/>
      <c r="AA141" s="11">
        <v>454.54133</v>
      </c>
      <c r="AB141" s="11">
        <f t="shared" si="66"/>
        <v>1496.46407</v>
      </c>
      <c r="AC141" s="11">
        <f t="shared" si="67"/>
        <v>0</v>
      </c>
      <c r="AD141" s="11">
        <f t="shared" si="67"/>
        <v>592.27474</v>
      </c>
      <c r="AE141" s="11">
        <f t="shared" si="67"/>
        <v>0</v>
      </c>
      <c r="AF141" s="11">
        <f t="shared" si="67"/>
        <v>904.18933</v>
      </c>
      <c r="AG141" s="10" t="e">
        <f t="shared" si="68"/>
        <v>#REF!</v>
      </c>
      <c r="AH141" s="11" t="e">
        <f>#REF!-S141</f>
        <v>#REF!</v>
      </c>
      <c r="AI141" s="11" t="e">
        <f>#REF!-T141</f>
        <v>#REF!</v>
      </c>
      <c r="AJ141" s="11" t="e">
        <f>#REF!-U141</f>
        <v>#REF!</v>
      </c>
      <c r="AK141" s="11" t="e">
        <f>#REF!-V141</f>
        <v>#REF!</v>
      </c>
    </row>
    <row r="142" spans="1:37" s="28" customFormat="1" ht="20.25" customHeight="1">
      <c r="A142" s="85">
        <v>112</v>
      </c>
      <c r="B142" s="27" t="s">
        <v>163</v>
      </c>
      <c r="C142" s="134"/>
      <c r="D142" s="134"/>
      <c r="E142" s="134"/>
      <c r="F142" s="134"/>
      <c r="G142" s="134"/>
      <c r="H142" s="37">
        <f t="shared" si="63"/>
        <v>1189.991</v>
      </c>
      <c r="I142" s="11"/>
      <c r="J142" s="11">
        <v>1089.991</v>
      </c>
      <c r="K142" s="11"/>
      <c r="L142" s="49">
        <v>100</v>
      </c>
      <c r="M142" s="46"/>
      <c r="N142" s="46"/>
      <c r="O142" s="46"/>
      <c r="P142" s="46"/>
      <c r="Q142" s="46"/>
      <c r="R142" s="11">
        <f t="shared" si="64"/>
        <v>1189.891</v>
      </c>
      <c r="S142" s="11"/>
      <c r="T142" s="11">
        <v>1089.891</v>
      </c>
      <c r="U142" s="11"/>
      <c r="V142" s="11">
        <v>100</v>
      </c>
      <c r="W142" s="11">
        <f t="shared" si="65"/>
        <v>1520.69795</v>
      </c>
      <c r="X142" s="11"/>
      <c r="Y142" s="11">
        <v>57.38579</v>
      </c>
      <c r="Z142" s="11"/>
      <c r="AA142" s="11">
        <v>1463.31216</v>
      </c>
      <c r="AB142" s="11">
        <f t="shared" si="66"/>
        <v>2710.5889500000003</v>
      </c>
      <c r="AC142" s="11">
        <f t="shared" si="67"/>
        <v>0</v>
      </c>
      <c r="AD142" s="11">
        <f t="shared" si="67"/>
        <v>1147.2767900000001</v>
      </c>
      <c r="AE142" s="11">
        <f t="shared" si="67"/>
        <v>0</v>
      </c>
      <c r="AF142" s="11">
        <f t="shared" si="67"/>
        <v>1563.31216</v>
      </c>
      <c r="AG142" s="10" t="e">
        <f t="shared" si="68"/>
        <v>#REF!</v>
      </c>
      <c r="AH142" s="11" t="e">
        <f>#REF!-S142</f>
        <v>#REF!</v>
      </c>
      <c r="AI142" s="11" t="e">
        <f>#REF!-T142</f>
        <v>#REF!</v>
      </c>
      <c r="AJ142" s="11" t="e">
        <f>#REF!-U142</f>
        <v>#REF!</v>
      </c>
      <c r="AK142" s="11" t="e">
        <f>#REF!-V142</f>
        <v>#REF!</v>
      </c>
    </row>
    <row r="143" spans="1:37" s="28" customFormat="1" ht="20.25" customHeight="1">
      <c r="A143" s="85">
        <v>113</v>
      </c>
      <c r="B143" s="27" t="s">
        <v>164</v>
      </c>
      <c r="C143" s="134"/>
      <c r="D143" s="134"/>
      <c r="E143" s="134"/>
      <c r="F143" s="134"/>
      <c r="G143" s="134"/>
      <c r="H143" s="37">
        <f t="shared" si="63"/>
        <v>1391.42</v>
      </c>
      <c r="I143" s="11"/>
      <c r="J143" s="11">
        <v>1391.42</v>
      </c>
      <c r="K143" s="11"/>
      <c r="L143" s="49"/>
      <c r="M143" s="46"/>
      <c r="N143" s="46"/>
      <c r="O143" s="46"/>
      <c r="P143" s="46"/>
      <c r="Q143" s="46"/>
      <c r="R143" s="11">
        <f t="shared" si="64"/>
        <v>1391.42</v>
      </c>
      <c r="S143" s="11"/>
      <c r="T143" s="11">
        <f>354.77728+1036.64272</f>
        <v>1391.42</v>
      </c>
      <c r="U143" s="11"/>
      <c r="V143" s="11"/>
      <c r="W143" s="11">
        <f t="shared" si="65"/>
        <v>367.37764000000004</v>
      </c>
      <c r="X143" s="11"/>
      <c r="Y143" s="11">
        <f>205.02492+162.35272</f>
        <v>367.37764000000004</v>
      </c>
      <c r="Z143" s="11"/>
      <c r="AA143" s="11"/>
      <c r="AB143" s="11">
        <f t="shared" si="66"/>
        <v>1758.7976400000002</v>
      </c>
      <c r="AC143" s="11">
        <f t="shared" si="67"/>
        <v>0</v>
      </c>
      <c r="AD143" s="11">
        <f t="shared" si="67"/>
        <v>1758.7976400000002</v>
      </c>
      <c r="AE143" s="11">
        <f t="shared" si="67"/>
        <v>0</v>
      </c>
      <c r="AF143" s="11">
        <f t="shared" si="67"/>
        <v>0</v>
      </c>
      <c r="AG143" s="10" t="e">
        <f t="shared" si="68"/>
        <v>#REF!</v>
      </c>
      <c r="AH143" s="11" t="e">
        <f>#REF!-S143</f>
        <v>#REF!</v>
      </c>
      <c r="AI143" s="11" t="e">
        <f>#REF!-T143</f>
        <v>#REF!</v>
      </c>
      <c r="AJ143" s="11" t="e">
        <f>#REF!-U143</f>
        <v>#REF!</v>
      </c>
      <c r="AK143" s="11" t="e">
        <f>#REF!-V143</f>
        <v>#REF!</v>
      </c>
    </row>
    <row r="144" spans="1:37" s="28" customFormat="1" ht="20.25" customHeight="1">
      <c r="A144" s="85">
        <v>114</v>
      </c>
      <c r="B144" s="27" t="s">
        <v>165</v>
      </c>
      <c r="C144" s="134"/>
      <c r="D144" s="134"/>
      <c r="E144" s="134"/>
      <c r="F144" s="134"/>
      <c r="G144" s="134"/>
      <c r="H144" s="37">
        <f t="shared" si="63"/>
        <v>755.3340000000001</v>
      </c>
      <c r="I144" s="11"/>
      <c r="J144" s="11">
        <v>404.44</v>
      </c>
      <c r="K144" s="11"/>
      <c r="L144" s="49">
        <v>350.894</v>
      </c>
      <c r="M144" s="46"/>
      <c r="N144" s="46"/>
      <c r="O144" s="46"/>
      <c r="P144" s="46"/>
      <c r="Q144" s="46"/>
      <c r="R144" s="11">
        <f t="shared" si="64"/>
        <v>755.3340000000001</v>
      </c>
      <c r="S144" s="11"/>
      <c r="T144" s="11">
        <v>404.44</v>
      </c>
      <c r="U144" s="11"/>
      <c r="V144" s="11">
        <v>350.894</v>
      </c>
      <c r="W144" s="11">
        <f t="shared" si="65"/>
        <v>968.2480599999999</v>
      </c>
      <c r="X144" s="11"/>
      <c r="Y144" s="11">
        <v>327.05415</v>
      </c>
      <c r="Z144" s="11"/>
      <c r="AA144" s="11">
        <v>641.19391</v>
      </c>
      <c r="AB144" s="11">
        <f t="shared" si="66"/>
        <v>1723.58206</v>
      </c>
      <c r="AC144" s="11">
        <f t="shared" si="67"/>
        <v>0</v>
      </c>
      <c r="AD144" s="11">
        <f t="shared" si="67"/>
        <v>731.49415</v>
      </c>
      <c r="AE144" s="11">
        <f t="shared" si="67"/>
        <v>0</v>
      </c>
      <c r="AF144" s="11">
        <f t="shared" si="67"/>
        <v>992.08791</v>
      </c>
      <c r="AG144" s="10" t="e">
        <f t="shared" si="68"/>
        <v>#REF!</v>
      </c>
      <c r="AH144" s="11" t="e">
        <f>#REF!-S144</f>
        <v>#REF!</v>
      </c>
      <c r="AI144" s="11" t="e">
        <f>#REF!-T144</f>
        <v>#REF!</v>
      </c>
      <c r="AJ144" s="11" t="e">
        <f>#REF!-U144</f>
        <v>#REF!</v>
      </c>
      <c r="AK144" s="11" t="e">
        <f>#REF!-V144</f>
        <v>#REF!</v>
      </c>
    </row>
    <row r="145" spans="1:37" s="28" customFormat="1" ht="21.75" customHeight="1">
      <c r="A145" s="85">
        <v>115</v>
      </c>
      <c r="B145" s="27" t="s">
        <v>166</v>
      </c>
      <c r="C145" s="134"/>
      <c r="D145" s="134"/>
      <c r="E145" s="134"/>
      <c r="F145" s="134"/>
      <c r="G145" s="134"/>
      <c r="H145" s="37">
        <f t="shared" si="63"/>
        <v>3962.8680000000004</v>
      </c>
      <c r="I145" s="11"/>
      <c r="J145" s="11">
        <f>2121.9+1840.968</f>
        <v>3962.8680000000004</v>
      </c>
      <c r="K145" s="11"/>
      <c r="L145" s="49"/>
      <c r="M145" s="46"/>
      <c r="N145" s="46"/>
      <c r="O145" s="46"/>
      <c r="P145" s="46"/>
      <c r="Q145" s="46"/>
      <c r="R145" s="11">
        <f t="shared" si="64"/>
        <v>3962.8680000000004</v>
      </c>
      <c r="S145" s="11"/>
      <c r="T145" s="11">
        <f>754.694+1398.994+1809.18</f>
        <v>3962.8680000000004</v>
      </c>
      <c r="U145" s="11"/>
      <c r="V145" s="11"/>
      <c r="W145" s="11">
        <f t="shared" si="65"/>
        <v>359.65977</v>
      </c>
      <c r="X145" s="11"/>
      <c r="Y145" s="11">
        <v>359.65977</v>
      </c>
      <c r="Z145" s="11"/>
      <c r="AA145" s="11"/>
      <c r="AB145" s="11">
        <f t="shared" si="66"/>
        <v>4322.527770000001</v>
      </c>
      <c r="AC145" s="11">
        <f t="shared" si="67"/>
        <v>0</v>
      </c>
      <c r="AD145" s="11">
        <f t="shared" si="67"/>
        <v>4322.527770000001</v>
      </c>
      <c r="AE145" s="11">
        <f t="shared" si="67"/>
        <v>0</v>
      </c>
      <c r="AF145" s="11">
        <f t="shared" si="67"/>
        <v>0</v>
      </c>
      <c r="AG145" s="10" t="e">
        <f t="shared" si="68"/>
        <v>#REF!</v>
      </c>
      <c r="AH145" s="11" t="e">
        <f>#REF!-S145</f>
        <v>#REF!</v>
      </c>
      <c r="AI145" s="11" t="e">
        <f>#REF!-T145</f>
        <v>#REF!</v>
      </c>
      <c r="AJ145" s="11" t="e">
        <f>#REF!-U145</f>
        <v>#REF!</v>
      </c>
      <c r="AK145" s="11" t="e">
        <f>#REF!-V145</f>
        <v>#REF!</v>
      </c>
    </row>
    <row r="146" spans="1:37" s="28" customFormat="1" ht="20.25" customHeight="1">
      <c r="A146" s="85">
        <v>116</v>
      </c>
      <c r="B146" s="27" t="s">
        <v>167</v>
      </c>
      <c r="C146" s="134"/>
      <c r="D146" s="134"/>
      <c r="E146" s="134"/>
      <c r="F146" s="134"/>
      <c r="G146" s="134"/>
      <c r="H146" s="37">
        <f t="shared" si="63"/>
        <v>4016.9619999999995</v>
      </c>
      <c r="I146" s="11"/>
      <c r="J146" s="11">
        <f>2150.865+1866.097</f>
        <v>4016.9619999999995</v>
      </c>
      <c r="K146" s="11"/>
      <c r="L146" s="49"/>
      <c r="M146" s="46"/>
      <c r="N146" s="46"/>
      <c r="O146" s="46"/>
      <c r="P146" s="46"/>
      <c r="Q146" s="46"/>
      <c r="R146" s="11">
        <f t="shared" si="64"/>
        <v>3983.7198700000004</v>
      </c>
      <c r="S146" s="11"/>
      <c r="T146" s="11">
        <f>1070.59109+105.97953+378.49028+376.30063+253.60675+632.32353+202.88654+915.66272+47.8788</f>
        <v>3983.7198700000004</v>
      </c>
      <c r="U146" s="11"/>
      <c r="V146" s="11"/>
      <c r="W146" s="11">
        <f t="shared" si="65"/>
        <v>209.66951</v>
      </c>
      <c r="X146" s="11"/>
      <c r="Y146" s="11">
        <v>209.66951</v>
      </c>
      <c r="Z146" s="11"/>
      <c r="AA146" s="11"/>
      <c r="AB146" s="11">
        <f t="shared" si="66"/>
        <v>4193.3893800000005</v>
      </c>
      <c r="AC146" s="11">
        <f t="shared" si="67"/>
        <v>0</v>
      </c>
      <c r="AD146" s="11">
        <f t="shared" si="67"/>
        <v>4193.3893800000005</v>
      </c>
      <c r="AE146" s="11">
        <f t="shared" si="67"/>
        <v>0</v>
      </c>
      <c r="AF146" s="11">
        <f t="shared" si="67"/>
        <v>0</v>
      </c>
      <c r="AG146" s="10" t="e">
        <f t="shared" si="68"/>
        <v>#REF!</v>
      </c>
      <c r="AH146" s="11" t="e">
        <f>#REF!-S146</f>
        <v>#REF!</v>
      </c>
      <c r="AI146" s="11" t="e">
        <f>#REF!-T146</f>
        <v>#REF!</v>
      </c>
      <c r="AJ146" s="11" t="e">
        <f>#REF!-U146</f>
        <v>#REF!</v>
      </c>
      <c r="AK146" s="11" t="e">
        <f>#REF!-V146</f>
        <v>#REF!</v>
      </c>
    </row>
    <row r="147" spans="1:37" s="28" customFormat="1" ht="20.25" customHeight="1">
      <c r="A147" s="4"/>
      <c r="B147" s="1" t="s">
        <v>17</v>
      </c>
      <c r="C147" s="132"/>
      <c r="D147" s="132"/>
      <c r="E147" s="132"/>
      <c r="F147" s="132"/>
      <c r="G147" s="132"/>
      <c r="H147" s="39">
        <f aca="true" t="shared" si="69" ref="H147:AK147">SUM(H148:H148)</f>
        <v>3187.851</v>
      </c>
      <c r="I147" s="7">
        <f t="shared" si="69"/>
        <v>0</v>
      </c>
      <c r="J147" s="7">
        <f t="shared" si="69"/>
        <v>3187.851</v>
      </c>
      <c r="K147" s="7">
        <f t="shared" si="69"/>
        <v>0</v>
      </c>
      <c r="L147" s="40">
        <f t="shared" si="69"/>
        <v>0</v>
      </c>
      <c r="M147" s="41"/>
      <c r="N147" s="41"/>
      <c r="O147" s="41"/>
      <c r="P147" s="41"/>
      <c r="Q147" s="41"/>
      <c r="R147" s="7">
        <f t="shared" si="69"/>
        <v>3187.8509999999997</v>
      </c>
      <c r="S147" s="7">
        <f t="shared" si="69"/>
        <v>0</v>
      </c>
      <c r="T147" s="7">
        <f t="shared" si="69"/>
        <v>3187.8509999999997</v>
      </c>
      <c r="U147" s="7">
        <f t="shared" si="69"/>
        <v>0</v>
      </c>
      <c r="V147" s="7">
        <f t="shared" si="69"/>
        <v>0</v>
      </c>
      <c r="W147" s="7">
        <f t="shared" si="69"/>
        <v>3054.22562</v>
      </c>
      <c r="X147" s="7">
        <f t="shared" si="69"/>
        <v>0</v>
      </c>
      <c r="Y147" s="7">
        <f t="shared" si="69"/>
        <v>3054.22562</v>
      </c>
      <c r="Z147" s="7">
        <f t="shared" si="69"/>
        <v>0</v>
      </c>
      <c r="AA147" s="7">
        <f t="shared" si="69"/>
        <v>0</v>
      </c>
      <c r="AB147" s="7">
        <f t="shared" si="69"/>
        <v>6242.07662</v>
      </c>
      <c r="AC147" s="7">
        <f t="shared" si="69"/>
        <v>0</v>
      </c>
      <c r="AD147" s="7">
        <f t="shared" si="69"/>
        <v>6242.07662</v>
      </c>
      <c r="AE147" s="7">
        <f t="shared" si="69"/>
        <v>0</v>
      </c>
      <c r="AF147" s="7">
        <f t="shared" si="69"/>
        <v>0</v>
      </c>
      <c r="AG147" s="20" t="e">
        <f t="shared" si="69"/>
        <v>#REF!</v>
      </c>
      <c r="AH147" s="7" t="e">
        <f t="shared" si="69"/>
        <v>#REF!</v>
      </c>
      <c r="AI147" s="7" t="e">
        <f t="shared" si="69"/>
        <v>#REF!</v>
      </c>
      <c r="AJ147" s="7" t="e">
        <f t="shared" si="69"/>
        <v>#REF!</v>
      </c>
      <c r="AK147" s="7" t="e">
        <f t="shared" si="69"/>
        <v>#REF!</v>
      </c>
    </row>
    <row r="148" spans="1:37" s="28" customFormat="1" ht="20.25" customHeight="1">
      <c r="A148" s="85">
        <v>117</v>
      </c>
      <c r="B148" s="27" t="s">
        <v>168</v>
      </c>
      <c r="C148" s="134"/>
      <c r="D148" s="134"/>
      <c r="E148" s="134"/>
      <c r="F148" s="134"/>
      <c r="G148" s="134"/>
      <c r="H148" s="37">
        <f>I148+J148+K148+L148</f>
        <v>3187.851</v>
      </c>
      <c r="I148" s="11"/>
      <c r="J148" s="11">
        <f>1706.921+1480.93</f>
        <v>3187.851</v>
      </c>
      <c r="K148" s="11"/>
      <c r="L148" s="49"/>
      <c r="M148" s="46"/>
      <c r="N148" s="46"/>
      <c r="O148" s="46"/>
      <c r="P148" s="46"/>
      <c r="Q148" s="46"/>
      <c r="R148" s="11">
        <f>S148+T148+U148+V148</f>
        <v>3187.8509999999997</v>
      </c>
      <c r="S148" s="11"/>
      <c r="T148" s="11">
        <f>1786.13602+1401.71498</f>
        <v>3187.8509999999997</v>
      </c>
      <c r="U148" s="11"/>
      <c r="V148" s="11"/>
      <c r="W148" s="11">
        <f>X148+Y148+Z148+AA148</f>
        <v>3054.22562</v>
      </c>
      <c r="X148" s="11"/>
      <c r="Y148" s="11">
        <f>189.87691+2864.34871</f>
        <v>3054.22562</v>
      </c>
      <c r="Z148" s="11"/>
      <c r="AA148" s="11"/>
      <c r="AB148" s="11">
        <f>AC148+AD148+AE148+AF148</f>
        <v>6242.07662</v>
      </c>
      <c r="AC148" s="11">
        <f>S148+X148</f>
        <v>0</v>
      </c>
      <c r="AD148" s="11">
        <f>T148+Y148</f>
        <v>6242.07662</v>
      </c>
      <c r="AE148" s="11">
        <f>U148+Z148</f>
        <v>0</v>
      </c>
      <c r="AF148" s="11">
        <f>V148+AA148</f>
        <v>0</v>
      </c>
      <c r="AG148" s="10" t="e">
        <f>AH148+AI148+AJ148+AK148</f>
        <v>#REF!</v>
      </c>
      <c r="AH148" s="11" t="e">
        <f>#REF!-S148</f>
        <v>#REF!</v>
      </c>
      <c r="AI148" s="11" t="e">
        <f>#REF!-T148</f>
        <v>#REF!</v>
      </c>
      <c r="AJ148" s="11" t="e">
        <f>#REF!-U148</f>
        <v>#REF!</v>
      </c>
      <c r="AK148" s="11" t="e">
        <f>#REF!-V148</f>
        <v>#REF!</v>
      </c>
    </row>
    <row r="149" spans="1:37" s="28" customFormat="1" ht="20.25" customHeight="1">
      <c r="A149" s="4"/>
      <c r="B149" s="1" t="s">
        <v>16</v>
      </c>
      <c r="C149" s="132"/>
      <c r="D149" s="132"/>
      <c r="E149" s="132"/>
      <c r="F149" s="132"/>
      <c r="G149" s="132"/>
      <c r="H149" s="39">
        <f>SUM(H150:H163)</f>
        <v>35418.638999999996</v>
      </c>
      <c r="I149" s="7">
        <f>SUM(I150:I163)</f>
        <v>0</v>
      </c>
      <c r="J149" s="7">
        <f>SUM(J150:J163)</f>
        <v>28691.587999999996</v>
      </c>
      <c r="K149" s="7">
        <f>SUM(K150:K163)</f>
        <v>0</v>
      </c>
      <c r="L149" s="40">
        <f>SUM(L150:L163)</f>
        <v>6727.050999999999</v>
      </c>
      <c r="M149" s="41"/>
      <c r="N149" s="41"/>
      <c r="O149" s="41"/>
      <c r="P149" s="41"/>
      <c r="Q149" s="41"/>
      <c r="R149" s="7">
        <f>SUM(R150:R163)</f>
        <v>34820.24389</v>
      </c>
      <c r="S149" s="7">
        <f>SUM(S150:S163)</f>
        <v>0</v>
      </c>
      <c r="T149" s="7">
        <f>SUM(T150:T163)</f>
        <v>28402.14189</v>
      </c>
      <c r="U149" s="7">
        <f>SUM(U150:U163)</f>
        <v>0</v>
      </c>
      <c r="V149" s="7">
        <f>SUM(V150:V163)</f>
        <v>6418.102</v>
      </c>
      <c r="W149" s="7">
        <f aca="true" t="shared" si="70" ref="W149:AK149">SUM(W150:W163)</f>
        <v>7585.720970000001</v>
      </c>
      <c r="X149" s="7">
        <f t="shared" si="70"/>
        <v>0</v>
      </c>
      <c r="Y149" s="7">
        <f t="shared" si="70"/>
        <v>5029.191609999999</v>
      </c>
      <c r="Z149" s="7">
        <f t="shared" si="70"/>
        <v>0</v>
      </c>
      <c r="AA149" s="7">
        <f t="shared" si="70"/>
        <v>2556.52936</v>
      </c>
      <c r="AB149" s="7">
        <f t="shared" si="70"/>
        <v>42405.96486</v>
      </c>
      <c r="AC149" s="7">
        <f t="shared" si="70"/>
        <v>0</v>
      </c>
      <c r="AD149" s="7">
        <f t="shared" si="70"/>
        <v>33431.33350000001</v>
      </c>
      <c r="AE149" s="7">
        <f t="shared" si="70"/>
        <v>0</v>
      </c>
      <c r="AF149" s="7">
        <f t="shared" si="70"/>
        <v>8974.63136</v>
      </c>
      <c r="AG149" s="20" t="e">
        <f t="shared" si="70"/>
        <v>#REF!</v>
      </c>
      <c r="AH149" s="7" t="e">
        <f t="shared" si="70"/>
        <v>#REF!</v>
      </c>
      <c r="AI149" s="7" t="e">
        <f t="shared" si="70"/>
        <v>#REF!</v>
      </c>
      <c r="AJ149" s="7" t="e">
        <f t="shared" si="70"/>
        <v>#REF!</v>
      </c>
      <c r="AK149" s="7" t="e">
        <f t="shared" si="70"/>
        <v>#REF!</v>
      </c>
    </row>
    <row r="150" spans="1:37" s="28" customFormat="1" ht="20.25" customHeight="1">
      <c r="A150" s="85">
        <v>118</v>
      </c>
      <c r="B150" s="27" t="s">
        <v>169</v>
      </c>
      <c r="C150" s="134"/>
      <c r="D150" s="134"/>
      <c r="E150" s="134"/>
      <c r="F150" s="134"/>
      <c r="G150" s="134"/>
      <c r="H150" s="37">
        <f aca="true" t="shared" si="71" ref="H150:H163">I150+J150+K150+L150</f>
        <v>2100.621</v>
      </c>
      <c r="I150" s="11"/>
      <c r="J150" s="11">
        <v>1175.502</v>
      </c>
      <c r="K150" s="11"/>
      <c r="L150" s="49">
        <v>925.119</v>
      </c>
      <c r="M150" s="46"/>
      <c r="N150" s="46"/>
      <c r="O150" s="46"/>
      <c r="P150" s="46"/>
      <c r="Q150" s="46"/>
      <c r="R150" s="11">
        <f aca="true" t="shared" si="72" ref="R150:R163">S150+T150+U150+V150</f>
        <v>2012.8069999999998</v>
      </c>
      <c r="S150" s="11"/>
      <c r="T150" s="11">
        <v>1175.502</v>
      </c>
      <c r="U150" s="11"/>
      <c r="V150" s="11">
        <f>837.305</f>
        <v>837.305</v>
      </c>
      <c r="W150" s="11">
        <f aca="true" t="shared" si="73" ref="W150:W163">X150+Y150+Z150+AA150</f>
        <v>458.64958</v>
      </c>
      <c r="X150" s="11"/>
      <c r="Y150" s="11">
        <v>414.5804</v>
      </c>
      <c r="Z150" s="11"/>
      <c r="AA150" s="11">
        <v>44.06918</v>
      </c>
      <c r="AB150" s="11">
        <f aca="true" t="shared" si="74" ref="AB150:AB163">AC150+AD150+AE150+AF150</f>
        <v>2471.45658</v>
      </c>
      <c r="AC150" s="11">
        <f aca="true" t="shared" si="75" ref="AC150:AF163">S150+X150</f>
        <v>0</v>
      </c>
      <c r="AD150" s="11">
        <f t="shared" si="75"/>
        <v>1590.0824</v>
      </c>
      <c r="AE150" s="11">
        <f t="shared" si="75"/>
        <v>0</v>
      </c>
      <c r="AF150" s="11">
        <f t="shared" si="75"/>
        <v>881.3741799999999</v>
      </c>
      <c r="AG150" s="10" t="e">
        <f aca="true" t="shared" si="76" ref="AG150:AG163">AH150+AI150+AJ150+AK150</f>
        <v>#REF!</v>
      </c>
      <c r="AH150" s="11" t="e">
        <f>#REF!-S150</f>
        <v>#REF!</v>
      </c>
      <c r="AI150" s="11" t="e">
        <f>#REF!-T150</f>
        <v>#REF!</v>
      </c>
      <c r="AJ150" s="11" t="e">
        <f>#REF!-U150</f>
        <v>#REF!</v>
      </c>
      <c r="AK150" s="11" t="e">
        <f>#REF!-V150</f>
        <v>#REF!</v>
      </c>
    </row>
    <row r="151" spans="1:37" s="28" customFormat="1" ht="20.25" customHeight="1">
      <c r="A151" s="85">
        <v>119</v>
      </c>
      <c r="B151" s="72" t="s">
        <v>170</v>
      </c>
      <c r="C151" s="133"/>
      <c r="D151" s="133"/>
      <c r="E151" s="133"/>
      <c r="F151" s="133"/>
      <c r="G151" s="133"/>
      <c r="H151" s="37">
        <f t="shared" si="71"/>
        <v>1135.684</v>
      </c>
      <c r="I151" s="11"/>
      <c r="J151" s="11">
        <v>608.097</v>
      </c>
      <c r="K151" s="11"/>
      <c r="L151" s="49">
        <v>527.587</v>
      </c>
      <c r="M151" s="46"/>
      <c r="N151" s="46"/>
      <c r="O151" s="46"/>
      <c r="P151" s="46"/>
      <c r="Q151" s="46"/>
      <c r="R151" s="11">
        <f t="shared" si="72"/>
        <v>1135.684</v>
      </c>
      <c r="S151" s="11"/>
      <c r="T151" s="11">
        <v>608.097</v>
      </c>
      <c r="U151" s="11"/>
      <c r="V151" s="11">
        <v>527.587</v>
      </c>
      <c r="W151" s="11">
        <f t="shared" si="73"/>
        <v>521.96412</v>
      </c>
      <c r="X151" s="11"/>
      <c r="Y151" s="11">
        <v>329.96412</v>
      </c>
      <c r="Z151" s="11"/>
      <c r="AA151" s="11">
        <v>192</v>
      </c>
      <c r="AB151" s="11">
        <f t="shared" si="74"/>
        <v>1657.6481199999998</v>
      </c>
      <c r="AC151" s="11">
        <f t="shared" si="75"/>
        <v>0</v>
      </c>
      <c r="AD151" s="11">
        <f t="shared" si="75"/>
        <v>938.06112</v>
      </c>
      <c r="AE151" s="11">
        <f t="shared" si="75"/>
        <v>0</v>
      </c>
      <c r="AF151" s="11">
        <f t="shared" si="75"/>
        <v>719.587</v>
      </c>
      <c r="AG151" s="10" t="e">
        <f t="shared" si="76"/>
        <v>#REF!</v>
      </c>
      <c r="AH151" s="11" t="e">
        <f>#REF!-S151</f>
        <v>#REF!</v>
      </c>
      <c r="AI151" s="11" t="e">
        <f>#REF!-T151</f>
        <v>#REF!</v>
      </c>
      <c r="AJ151" s="11" t="e">
        <f>#REF!-U151</f>
        <v>#REF!</v>
      </c>
      <c r="AK151" s="11" t="e">
        <f>#REF!-V151</f>
        <v>#REF!</v>
      </c>
    </row>
    <row r="152" spans="1:37" s="28" customFormat="1" ht="20.25" customHeight="1">
      <c r="A152" s="85">
        <v>120</v>
      </c>
      <c r="B152" s="27" t="s">
        <v>171</v>
      </c>
      <c r="C152" s="134"/>
      <c r="D152" s="134"/>
      <c r="E152" s="134"/>
      <c r="F152" s="134"/>
      <c r="G152" s="134"/>
      <c r="H152" s="37">
        <f t="shared" si="71"/>
        <v>1112.971</v>
      </c>
      <c r="I152" s="11"/>
      <c r="J152" s="11">
        <v>1112.971</v>
      </c>
      <c r="K152" s="11"/>
      <c r="L152" s="49"/>
      <c r="M152" s="46"/>
      <c r="N152" s="46"/>
      <c r="O152" s="46"/>
      <c r="P152" s="46"/>
      <c r="Q152" s="46"/>
      <c r="R152" s="11">
        <f t="shared" si="72"/>
        <v>1112.971</v>
      </c>
      <c r="S152" s="11"/>
      <c r="T152" s="11">
        <f>595.935+517.036</f>
        <v>1112.971</v>
      </c>
      <c r="U152" s="11"/>
      <c r="V152" s="11"/>
      <c r="W152" s="11">
        <f t="shared" si="73"/>
        <v>564.1506</v>
      </c>
      <c r="X152" s="11"/>
      <c r="Y152" s="11">
        <v>564.1506</v>
      </c>
      <c r="Z152" s="11"/>
      <c r="AA152" s="11"/>
      <c r="AB152" s="11">
        <f t="shared" si="74"/>
        <v>1677.1216</v>
      </c>
      <c r="AC152" s="11">
        <f t="shared" si="75"/>
        <v>0</v>
      </c>
      <c r="AD152" s="11">
        <f t="shared" si="75"/>
        <v>1677.1216</v>
      </c>
      <c r="AE152" s="11">
        <f t="shared" si="75"/>
        <v>0</v>
      </c>
      <c r="AF152" s="11">
        <f t="shared" si="75"/>
        <v>0</v>
      </c>
      <c r="AG152" s="10" t="e">
        <f t="shared" si="76"/>
        <v>#REF!</v>
      </c>
      <c r="AH152" s="11" t="e">
        <f>#REF!-S152</f>
        <v>#REF!</v>
      </c>
      <c r="AI152" s="11" t="e">
        <f>#REF!-T152</f>
        <v>#REF!</v>
      </c>
      <c r="AJ152" s="11" t="e">
        <f>#REF!-U152</f>
        <v>#REF!</v>
      </c>
      <c r="AK152" s="11" t="e">
        <f>#REF!-V152</f>
        <v>#REF!</v>
      </c>
    </row>
    <row r="153" spans="1:37" s="28" customFormat="1" ht="20.25" customHeight="1">
      <c r="A153" s="85">
        <v>121</v>
      </c>
      <c r="B153" s="27" t="s">
        <v>172</v>
      </c>
      <c r="C153" s="134"/>
      <c r="D153" s="134"/>
      <c r="E153" s="134"/>
      <c r="F153" s="134"/>
      <c r="G153" s="134"/>
      <c r="H153" s="37">
        <f t="shared" si="71"/>
        <v>4821.995</v>
      </c>
      <c r="I153" s="11"/>
      <c r="J153" s="11">
        <v>3926.951</v>
      </c>
      <c r="K153" s="11"/>
      <c r="L153" s="49">
        <v>895.044</v>
      </c>
      <c r="M153" s="46"/>
      <c r="N153" s="46"/>
      <c r="O153" s="46"/>
      <c r="P153" s="46"/>
      <c r="Q153" s="46"/>
      <c r="R153" s="11">
        <f t="shared" si="72"/>
        <v>4557.669</v>
      </c>
      <c r="S153" s="11"/>
      <c r="T153" s="11">
        <f>3729.103</f>
        <v>3729.103</v>
      </c>
      <c r="U153" s="11"/>
      <c r="V153" s="11">
        <v>828.566</v>
      </c>
      <c r="W153" s="11">
        <f t="shared" si="73"/>
        <v>244.93322</v>
      </c>
      <c r="X153" s="11"/>
      <c r="Y153" s="11">
        <v>200.40533</v>
      </c>
      <c r="Z153" s="11"/>
      <c r="AA153" s="11">
        <v>44.52789</v>
      </c>
      <c r="AB153" s="11">
        <f t="shared" si="74"/>
        <v>4802.60222</v>
      </c>
      <c r="AC153" s="11">
        <f t="shared" si="75"/>
        <v>0</v>
      </c>
      <c r="AD153" s="11">
        <f t="shared" si="75"/>
        <v>3929.50833</v>
      </c>
      <c r="AE153" s="11">
        <f t="shared" si="75"/>
        <v>0</v>
      </c>
      <c r="AF153" s="11">
        <f t="shared" si="75"/>
        <v>873.09389</v>
      </c>
      <c r="AG153" s="10" t="e">
        <f t="shared" si="76"/>
        <v>#REF!</v>
      </c>
      <c r="AH153" s="11" t="e">
        <f>#REF!-S153</f>
        <v>#REF!</v>
      </c>
      <c r="AI153" s="11" t="e">
        <f>#REF!-T153</f>
        <v>#REF!</v>
      </c>
      <c r="AJ153" s="11" t="e">
        <f>#REF!-U153</f>
        <v>#REF!</v>
      </c>
      <c r="AK153" s="11" t="e">
        <f>#REF!-V153</f>
        <v>#REF!</v>
      </c>
    </row>
    <row r="154" spans="1:37" s="28" customFormat="1" ht="20.25" customHeight="1">
      <c r="A154" s="85">
        <v>122</v>
      </c>
      <c r="B154" s="27" t="s">
        <v>173</v>
      </c>
      <c r="C154" s="134"/>
      <c r="D154" s="134"/>
      <c r="E154" s="134"/>
      <c r="F154" s="134"/>
      <c r="G154" s="134"/>
      <c r="H154" s="37">
        <f t="shared" si="71"/>
        <v>5174.386</v>
      </c>
      <c r="I154" s="11"/>
      <c r="J154" s="11">
        <v>2770.602</v>
      </c>
      <c r="K154" s="11"/>
      <c r="L154" s="49">
        <v>2403.784</v>
      </c>
      <c r="M154" s="46"/>
      <c r="N154" s="46"/>
      <c r="O154" s="46"/>
      <c r="P154" s="46"/>
      <c r="Q154" s="46"/>
      <c r="R154" s="11">
        <f t="shared" si="72"/>
        <v>5174.386</v>
      </c>
      <c r="S154" s="11"/>
      <c r="T154" s="11">
        <v>2770.602</v>
      </c>
      <c r="U154" s="11"/>
      <c r="V154" s="11">
        <v>2403.784</v>
      </c>
      <c r="W154" s="11">
        <f t="shared" si="73"/>
        <v>830.859</v>
      </c>
      <c r="X154" s="11"/>
      <c r="Y154" s="11">
        <v>238.667</v>
      </c>
      <c r="Z154" s="11"/>
      <c r="AA154" s="11">
        <v>592.192</v>
      </c>
      <c r="AB154" s="11">
        <f t="shared" si="74"/>
        <v>6005.245</v>
      </c>
      <c r="AC154" s="11">
        <f t="shared" si="75"/>
        <v>0</v>
      </c>
      <c r="AD154" s="11">
        <f t="shared" si="75"/>
        <v>3009.269</v>
      </c>
      <c r="AE154" s="11">
        <f t="shared" si="75"/>
        <v>0</v>
      </c>
      <c r="AF154" s="11">
        <f t="shared" si="75"/>
        <v>2995.976</v>
      </c>
      <c r="AG154" s="10" t="e">
        <f t="shared" si="76"/>
        <v>#REF!</v>
      </c>
      <c r="AH154" s="11" t="e">
        <f>#REF!-S154</f>
        <v>#REF!</v>
      </c>
      <c r="AI154" s="11" t="e">
        <f>#REF!-T154</f>
        <v>#REF!</v>
      </c>
      <c r="AJ154" s="11" t="e">
        <f>#REF!-U154</f>
        <v>#REF!</v>
      </c>
      <c r="AK154" s="11" t="e">
        <f>#REF!-V154</f>
        <v>#REF!</v>
      </c>
    </row>
    <row r="155" spans="1:37" s="28" customFormat="1" ht="20.25" customHeight="1">
      <c r="A155" s="85">
        <v>123</v>
      </c>
      <c r="B155" s="27" t="s">
        <v>174</v>
      </c>
      <c r="C155" s="134"/>
      <c r="D155" s="134"/>
      <c r="E155" s="134"/>
      <c r="F155" s="134"/>
      <c r="G155" s="134"/>
      <c r="H155" s="37">
        <f t="shared" si="71"/>
        <v>1543.498</v>
      </c>
      <c r="I155" s="11"/>
      <c r="J155" s="11">
        <v>826.459</v>
      </c>
      <c r="K155" s="11"/>
      <c r="L155" s="49">
        <v>717.039</v>
      </c>
      <c r="M155" s="46"/>
      <c r="N155" s="46"/>
      <c r="O155" s="46"/>
      <c r="P155" s="46"/>
      <c r="Q155" s="46"/>
      <c r="R155" s="11">
        <f t="shared" si="72"/>
        <v>1543.498</v>
      </c>
      <c r="S155" s="11"/>
      <c r="T155" s="11">
        <v>826.459</v>
      </c>
      <c r="U155" s="11"/>
      <c r="V155" s="11">
        <v>717.039</v>
      </c>
      <c r="W155" s="11">
        <f t="shared" si="73"/>
        <v>634.72573</v>
      </c>
      <c r="X155" s="11"/>
      <c r="Y155" s="11">
        <v>285.0625</v>
      </c>
      <c r="Z155" s="11"/>
      <c r="AA155" s="11">
        <v>349.66323</v>
      </c>
      <c r="AB155" s="11">
        <f t="shared" si="74"/>
        <v>2178.2237299999997</v>
      </c>
      <c r="AC155" s="11">
        <f t="shared" si="75"/>
        <v>0</v>
      </c>
      <c r="AD155" s="11">
        <f t="shared" si="75"/>
        <v>1111.5214999999998</v>
      </c>
      <c r="AE155" s="11">
        <f t="shared" si="75"/>
        <v>0</v>
      </c>
      <c r="AF155" s="11">
        <f t="shared" si="75"/>
        <v>1066.7022299999999</v>
      </c>
      <c r="AG155" s="10" t="e">
        <f t="shared" si="76"/>
        <v>#REF!</v>
      </c>
      <c r="AH155" s="11" t="e">
        <f>#REF!-S155</f>
        <v>#REF!</v>
      </c>
      <c r="AI155" s="11" t="e">
        <f>#REF!-T155</f>
        <v>#REF!</v>
      </c>
      <c r="AJ155" s="11" t="e">
        <f>#REF!-U155</f>
        <v>#REF!</v>
      </c>
      <c r="AK155" s="11" t="e">
        <f>#REF!-V155</f>
        <v>#REF!</v>
      </c>
    </row>
    <row r="156" spans="1:37" s="28" customFormat="1" ht="20.25" customHeight="1">
      <c r="A156" s="85">
        <v>124</v>
      </c>
      <c r="B156" s="27" t="s">
        <v>175</v>
      </c>
      <c r="C156" s="134"/>
      <c r="D156" s="134"/>
      <c r="E156" s="134"/>
      <c r="F156" s="134"/>
      <c r="G156" s="134"/>
      <c r="H156" s="37">
        <f t="shared" si="71"/>
        <v>1615.77</v>
      </c>
      <c r="I156" s="11"/>
      <c r="J156" s="11">
        <v>1215.757</v>
      </c>
      <c r="K156" s="11"/>
      <c r="L156" s="49">
        <v>400.013</v>
      </c>
      <c r="M156" s="46"/>
      <c r="N156" s="46"/>
      <c r="O156" s="46"/>
      <c r="P156" s="46"/>
      <c r="Q156" s="46"/>
      <c r="R156" s="11">
        <f t="shared" si="72"/>
        <v>1615.77</v>
      </c>
      <c r="S156" s="11"/>
      <c r="T156" s="11">
        <v>1215.757</v>
      </c>
      <c r="U156" s="11"/>
      <c r="V156" s="11">
        <v>400.013</v>
      </c>
      <c r="W156" s="11">
        <f t="shared" si="73"/>
        <v>1056.133</v>
      </c>
      <c r="X156" s="11"/>
      <c r="Y156" s="11">
        <v>339.903</v>
      </c>
      <c r="Z156" s="11"/>
      <c r="AA156" s="11">
        <v>716.23</v>
      </c>
      <c r="AB156" s="11">
        <f t="shared" si="74"/>
        <v>2671.9030000000002</v>
      </c>
      <c r="AC156" s="11">
        <f t="shared" si="75"/>
        <v>0</v>
      </c>
      <c r="AD156" s="11">
        <f t="shared" si="75"/>
        <v>1555.66</v>
      </c>
      <c r="AE156" s="11">
        <f t="shared" si="75"/>
        <v>0</v>
      </c>
      <c r="AF156" s="11">
        <f t="shared" si="75"/>
        <v>1116.243</v>
      </c>
      <c r="AG156" s="10" t="e">
        <f t="shared" si="76"/>
        <v>#REF!</v>
      </c>
      <c r="AH156" s="11" t="e">
        <f>#REF!-S156</f>
        <v>#REF!</v>
      </c>
      <c r="AI156" s="11" t="e">
        <f>#REF!-T156</f>
        <v>#REF!</v>
      </c>
      <c r="AJ156" s="11" t="e">
        <f>#REF!-U156</f>
        <v>#REF!</v>
      </c>
      <c r="AK156" s="11" t="e">
        <f>#REF!-V156</f>
        <v>#REF!</v>
      </c>
    </row>
    <row r="157" spans="1:37" s="28" customFormat="1" ht="20.25" customHeight="1">
      <c r="A157" s="85">
        <v>125</v>
      </c>
      <c r="B157" s="27" t="s">
        <v>176</v>
      </c>
      <c r="C157" s="134"/>
      <c r="D157" s="134"/>
      <c r="E157" s="134"/>
      <c r="F157" s="134"/>
      <c r="G157" s="134"/>
      <c r="H157" s="37">
        <f t="shared" si="71"/>
        <v>151.753</v>
      </c>
      <c r="I157" s="14"/>
      <c r="J157" s="12"/>
      <c r="K157" s="14"/>
      <c r="L157" s="74">
        <v>151.753</v>
      </c>
      <c r="M157" s="125"/>
      <c r="N157" s="125"/>
      <c r="O157" s="125"/>
      <c r="P157" s="125"/>
      <c r="Q157" s="125"/>
      <c r="R157" s="11">
        <f t="shared" si="72"/>
        <v>0</v>
      </c>
      <c r="S157" s="11"/>
      <c r="T157" s="11"/>
      <c r="U157" s="11"/>
      <c r="V157" s="11"/>
      <c r="W157" s="11">
        <f t="shared" si="73"/>
        <v>0</v>
      </c>
      <c r="X157" s="11"/>
      <c r="Y157" s="11">
        <v>0</v>
      </c>
      <c r="Z157" s="11"/>
      <c r="AA157" s="11"/>
      <c r="AB157" s="11">
        <f t="shared" si="74"/>
        <v>0</v>
      </c>
      <c r="AC157" s="11">
        <f t="shared" si="75"/>
        <v>0</v>
      </c>
      <c r="AD157" s="11">
        <f t="shared" si="75"/>
        <v>0</v>
      </c>
      <c r="AE157" s="11">
        <f t="shared" si="75"/>
        <v>0</v>
      </c>
      <c r="AF157" s="11">
        <f t="shared" si="75"/>
        <v>0</v>
      </c>
      <c r="AG157" s="10" t="e">
        <f t="shared" si="76"/>
        <v>#REF!</v>
      </c>
      <c r="AH157" s="11" t="e">
        <f>#REF!-S157</f>
        <v>#REF!</v>
      </c>
      <c r="AI157" s="11" t="e">
        <f>#REF!-T157</f>
        <v>#REF!</v>
      </c>
      <c r="AJ157" s="11" t="e">
        <f>#REF!-U157</f>
        <v>#REF!</v>
      </c>
      <c r="AK157" s="11" t="e">
        <f>#REF!-V157</f>
        <v>#REF!</v>
      </c>
    </row>
    <row r="158" spans="1:37" s="28" customFormat="1" ht="20.25" customHeight="1">
      <c r="A158" s="85">
        <v>126</v>
      </c>
      <c r="B158" s="27" t="s">
        <v>177</v>
      </c>
      <c r="C158" s="134"/>
      <c r="D158" s="134"/>
      <c r="E158" s="134"/>
      <c r="F158" s="134"/>
      <c r="G158" s="134"/>
      <c r="H158" s="37">
        <f t="shared" si="71"/>
        <v>10027.889</v>
      </c>
      <c r="I158" s="11"/>
      <c r="J158" s="11">
        <v>10027.889</v>
      </c>
      <c r="K158" s="11"/>
      <c r="L158" s="49"/>
      <c r="M158" s="46"/>
      <c r="N158" s="46"/>
      <c r="O158" s="46"/>
      <c r="P158" s="46"/>
      <c r="Q158" s="46"/>
      <c r="R158" s="11">
        <f t="shared" si="72"/>
        <v>9941.27998</v>
      </c>
      <c r="S158" s="11"/>
      <c r="T158" s="11">
        <f>7119.8728+2821.40718</f>
        <v>9941.27998</v>
      </c>
      <c r="U158" s="11"/>
      <c r="V158" s="11"/>
      <c r="W158" s="11">
        <f t="shared" si="73"/>
        <v>523.22615</v>
      </c>
      <c r="X158" s="11"/>
      <c r="Y158" s="11">
        <v>523.22615</v>
      </c>
      <c r="Z158" s="11"/>
      <c r="AA158" s="11"/>
      <c r="AB158" s="11">
        <f t="shared" si="74"/>
        <v>10464.50613</v>
      </c>
      <c r="AC158" s="11">
        <f t="shared" si="75"/>
        <v>0</v>
      </c>
      <c r="AD158" s="11">
        <f t="shared" si="75"/>
        <v>10464.50613</v>
      </c>
      <c r="AE158" s="11">
        <f t="shared" si="75"/>
        <v>0</v>
      </c>
      <c r="AF158" s="11">
        <f t="shared" si="75"/>
        <v>0</v>
      </c>
      <c r="AG158" s="10" t="e">
        <f t="shared" si="76"/>
        <v>#REF!</v>
      </c>
      <c r="AH158" s="11" t="e">
        <f>#REF!-S158</f>
        <v>#REF!</v>
      </c>
      <c r="AI158" s="11" t="e">
        <f>#REF!-T158</f>
        <v>#REF!</v>
      </c>
      <c r="AJ158" s="11" t="e">
        <f>#REF!-U158</f>
        <v>#REF!</v>
      </c>
      <c r="AK158" s="11" t="e">
        <f>#REF!-V158</f>
        <v>#REF!</v>
      </c>
    </row>
    <row r="159" spans="1:37" s="28" customFormat="1" ht="20.25" customHeight="1">
      <c r="A159" s="85">
        <v>127</v>
      </c>
      <c r="B159" s="27" t="s">
        <v>178</v>
      </c>
      <c r="C159" s="134"/>
      <c r="D159" s="134"/>
      <c r="E159" s="134"/>
      <c r="F159" s="134"/>
      <c r="G159" s="134"/>
      <c r="H159" s="37">
        <f t="shared" si="71"/>
        <v>503.831</v>
      </c>
      <c r="I159" s="11"/>
      <c r="J159" s="11">
        <v>310.318</v>
      </c>
      <c r="K159" s="11"/>
      <c r="L159" s="49">
        <v>193.513</v>
      </c>
      <c r="M159" s="46"/>
      <c r="N159" s="46"/>
      <c r="O159" s="46"/>
      <c r="P159" s="46"/>
      <c r="Q159" s="46"/>
      <c r="R159" s="11">
        <f t="shared" si="72"/>
        <v>495.93791</v>
      </c>
      <c r="S159" s="11"/>
      <c r="T159" s="11">
        <f>305.32891</f>
        <v>305.32891</v>
      </c>
      <c r="U159" s="11"/>
      <c r="V159" s="11">
        <v>190.609</v>
      </c>
      <c r="W159" s="11">
        <f t="shared" si="73"/>
        <v>116.37115</v>
      </c>
      <c r="X159" s="11"/>
      <c r="Y159" s="11">
        <v>106.33807</v>
      </c>
      <c r="Z159" s="11"/>
      <c r="AA159" s="11">
        <v>10.03308</v>
      </c>
      <c r="AB159" s="11">
        <f t="shared" si="74"/>
        <v>612.30906</v>
      </c>
      <c r="AC159" s="11">
        <f t="shared" si="75"/>
        <v>0</v>
      </c>
      <c r="AD159" s="11">
        <f t="shared" si="75"/>
        <v>411.66698</v>
      </c>
      <c r="AE159" s="11">
        <f t="shared" si="75"/>
        <v>0</v>
      </c>
      <c r="AF159" s="11">
        <f t="shared" si="75"/>
        <v>200.64208000000002</v>
      </c>
      <c r="AG159" s="10" t="e">
        <f t="shared" si="76"/>
        <v>#REF!</v>
      </c>
      <c r="AH159" s="11" t="e">
        <f>#REF!-S159</f>
        <v>#REF!</v>
      </c>
      <c r="AI159" s="11" t="e">
        <f>#REF!-T159</f>
        <v>#REF!</v>
      </c>
      <c r="AJ159" s="11" t="e">
        <f>#REF!-U159</f>
        <v>#REF!</v>
      </c>
      <c r="AK159" s="11" t="e">
        <f>#REF!-V159</f>
        <v>#REF!</v>
      </c>
    </row>
    <row r="160" spans="1:37" s="28" customFormat="1" ht="20.25" customHeight="1">
      <c r="A160" s="85">
        <v>128</v>
      </c>
      <c r="B160" s="27" t="s">
        <v>179</v>
      </c>
      <c r="C160" s="134"/>
      <c r="D160" s="134"/>
      <c r="E160" s="134"/>
      <c r="F160" s="134"/>
      <c r="G160" s="134"/>
      <c r="H160" s="37">
        <f t="shared" si="71"/>
        <v>1104.712</v>
      </c>
      <c r="I160" s="11"/>
      <c r="J160" s="11">
        <v>591.513</v>
      </c>
      <c r="K160" s="11"/>
      <c r="L160" s="49">
        <v>513.199</v>
      </c>
      <c r="M160" s="46"/>
      <c r="N160" s="46"/>
      <c r="O160" s="46"/>
      <c r="P160" s="46"/>
      <c r="Q160" s="46"/>
      <c r="R160" s="11">
        <f t="shared" si="72"/>
        <v>1104.712</v>
      </c>
      <c r="S160" s="11"/>
      <c r="T160" s="11">
        <v>591.513</v>
      </c>
      <c r="U160" s="11"/>
      <c r="V160" s="11">
        <v>513.199</v>
      </c>
      <c r="W160" s="11">
        <f t="shared" si="73"/>
        <v>1243.86678</v>
      </c>
      <c r="X160" s="11"/>
      <c r="Y160" s="11">
        <v>636.0528</v>
      </c>
      <c r="Z160" s="11"/>
      <c r="AA160" s="11">
        <v>607.81398</v>
      </c>
      <c r="AB160" s="11">
        <f t="shared" si="74"/>
        <v>2348.57878</v>
      </c>
      <c r="AC160" s="11">
        <f t="shared" si="75"/>
        <v>0</v>
      </c>
      <c r="AD160" s="11">
        <f t="shared" si="75"/>
        <v>1227.5658</v>
      </c>
      <c r="AE160" s="11">
        <f t="shared" si="75"/>
        <v>0</v>
      </c>
      <c r="AF160" s="11">
        <f t="shared" si="75"/>
        <v>1121.01298</v>
      </c>
      <c r="AG160" s="10" t="e">
        <f t="shared" si="76"/>
        <v>#REF!</v>
      </c>
      <c r="AH160" s="11" t="e">
        <f>#REF!-S160</f>
        <v>#REF!</v>
      </c>
      <c r="AI160" s="11" t="e">
        <f>#REF!-T160</f>
        <v>#REF!</v>
      </c>
      <c r="AJ160" s="11" t="e">
        <f>#REF!-U160</f>
        <v>#REF!</v>
      </c>
      <c r="AK160" s="11" t="e">
        <f>#REF!-V160</f>
        <v>#REF!</v>
      </c>
    </row>
    <row r="161" spans="1:37" s="28" customFormat="1" ht="28.5" customHeight="1">
      <c r="A161" s="85">
        <v>129</v>
      </c>
      <c r="B161" s="27" t="s">
        <v>180</v>
      </c>
      <c r="C161" s="134"/>
      <c r="D161" s="134"/>
      <c r="E161" s="134"/>
      <c r="F161" s="134"/>
      <c r="G161" s="134"/>
      <c r="H161" s="37">
        <f t="shared" si="71"/>
        <v>1648.867</v>
      </c>
      <c r="I161" s="11"/>
      <c r="J161" s="11">
        <v>1648.867</v>
      </c>
      <c r="K161" s="11"/>
      <c r="L161" s="49"/>
      <c r="M161" s="46"/>
      <c r="N161" s="46"/>
      <c r="O161" s="46"/>
      <c r="P161" s="46"/>
      <c r="Q161" s="46"/>
      <c r="R161" s="11">
        <f t="shared" si="72"/>
        <v>1648.867</v>
      </c>
      <c r="S161" s="11"/>
      <c r="T161" s="11">
        <v>1648.867</v>
      </c>
      <c r="U161" s="11"/>
      <c r="V161" s="11"/>
      <c r="W161" s="11">
        <f t="shared" si="73"/>
        <v>86.783</v>
      </c>
      <c r="X161" s="11"/>
      <c r="Y161" s="11">
        <v>86.783</v>
      </c>
      <c r="Z161" s="11"/>
      <c r="AA161" s="11"/>
      <c r="AB161" s="11">
        <f t="shared" si="74"/>
        <v>1735.6499999999999</v>
      </c>
      <c r="AC161" s="11">
        <f t="shared" si="75"/>
        <v>0</v>
      </c>
      <c r="AD161" s="11">
        <f t="shared" si="75"/>
        <v>1735.6499999999999</v>
      </c>
      <c r="AE161" s="11">
        <f t="shared" si="75"/>
        <v>0</v>
      </c>
      <c r="AF161" s="11">
        <f t="shared" si="75"/>
        <v>0</v>
      </c>
      <c r="AG161" s="10" t="e">
        <f t="shared" si="76"/>
        <v>#REF!</v>
      </c>
      <c r="AH161" s="11" t="e">
        <f>#REF!-S161</f>
        <v>#REF!</v>
      </c>
      <c r="AI161" s="11" t="e">
        <f>#REF!-T161</f>
        <v>#REF!</v>
      </c>
      <c r="AJ161" s="11" t="e">
        <f>#REF!-U161</f>
        <v>#REF!</v>
      </c>
      <c r="AK161" s="11" t="e">
        <f>#REF!-V161</f>
        <v>#REF!</v>
      </c>
    </row>
    <row r="162" spans="1:37" s="28" customFormat="1" ht="20.25" customHeight="1" hidden="1">
      <c r="A162" s="85"/>
      <c r="B162" s="27" t="s">
        <v>181</v>
      </c>
      <c r="C162" s="134"/>
      <c r="D162" s="134"/>
      <c r="E162" s="134"/>
      <c r="F162" s="134"/>
      <c r="G162" s="134"/>
      <c r="H162" s="37"/>
      <c r="I162" s="11"/>
      <c r="J162" s="11"/>
      <c r="K162" s="11"/>
      <c r="L162" s="49"/>
      <c r="M162" s="46"/>
      <c r="N162" s="46"/>
      <c r="O162" s="46"/>
      <c r="P162" s="46"/>
      <c r="Q162" s="46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0"/>
      <c r="AH162" s="11"/>
      <c r="AI162" s="11"/>
      <c r="AJ162" s="11"/>
      <c r="AK162" s="11"/>
    </row>
    <row r="163" spans="1:37" s="28" customFormat="1" ht="20.25" customHeight="1">
      <c r="A163" s="85">
        <v>130</v>
      </c>
      <c r="B163" s="27" t="s">
        <v>182</v>
      </c>
      <c r="C163" s="134"/>
      <c r="D163" s="134"/>
      <c r="E163" s="134"/>
      <c r="F163" s="134"/>
      <c r="G163" s="134"/>
      <c r="H163" s="37">
        <f t="shared" si="71"/>
        <v>4476.662</v>
      </c>
      <c r="I163" s="11"/>
      <c r="J163" s="11">
        <f>2397.009+2079.653</f>
        <v>4476.662</v>
      </c>
      <c r="K163" s="11"/>
      <c r="L163" s="49"/>
      <c r="M163" s="46"/>
      <c r="N163" s="46"/>
      <c r="O163" s="46"/>
      <c r="P163" s="46"/>
      <c r="Q163" s="46"/>
      <c r="R163" s="11">
        <f t="shared" si="72"/>
        <v>4476.662</v>
      </c>
      <c r="S163" s="11"/>
      <c r="T163" s="11">
        <f>2397.009+2079.653</f>
        <v>4476.662</v>
      </c>
      <c r="U163" s="11"/>
      <c r="V163" s="11"/>
      <c r="W163" s="11">
        <f t="shared" si="73"/>
        <v>1304.05864</v>
      </c>
      <c r="X163" s="11"/>
      <c r="Y163" s="11">
        <v>1304.05864</v>
      </c>
      <c r="Z163" s="11"/>
      <c r="AA163" s="11"/>
      <c r="AB163" s="11">
        <f t="shared" si="74"/>
        <v>5780.7206400000005</v>
      </c>
      <c r="AC163" s="11">
        <f t="shared" si="75"/>
        <v>0</v>
      </c>
      <c r="AD163" s="11">
        <f t="shared" si="75"/>
        <v>5780.7206400000005</v>
      </c>
      <c r="AE163" s="11">
        <f t="shared" si="75"/>
        <v>0</v>
      </c>
      <c r="AF163" s="11">
        <f t="shared" si="75"/>
        <v>0</v>
      </c>
      <c r="AG163" s="10" t="e">
        <f t="shared" si="76"/>
        <v>#REF!</v>
      </c>
      <c r="AH163" s="11" t="e">
        <f>#REF!-S163</f>
        <v>#REF!</v>
      </c>
      <c r="AI163" s="11" t="e">
        <f>#REF!-T163</f>
        <v>#REF!</v>
      </c>
      <c r="AJ163" s="11" t="e">
        <f>#REF!-U163</f>
        <v>#REF!</v>
      </c>
      <c r="AK163" s="11" t="e">
        <f>#REF!-V163</f>
        <v>#REF!</v>
      </c>
    </row>
    <row r="164" spans="1:37" s="28" customFormat="1" ht="20.25" customHeight="1">
      <c r="A164" s="4"/>
      <c r="B164" s="1" t="s">
        <v>15</v>
      </c>
      <c r="C164" s="132"/>
      <c r="D164" s="132"/>
      <c r="E164" s="132"/>
      <c r="F164" s="132"/>
      <c r="G164" s="132"/>
      <c r="H164" s="39">
        <f>SUM(H165:H171)</f>
        <v>22428.34</v>
      </c>
      <c r="I164" s="7">
        <f>SUM(I165:I171)</f>
        <v>0</v>
      </c>
      <c r="J164" s="7">
        <f>SUM(J165:J171)</f>
        <v>8448.495</v>
      </c>
      <c r="K164" s="7">
        <f>SUM(K165:K171)</f>
        <v>12500</v>
      </c>
      <c r="L164" s="40">
        <f>SUM(L165:L171)</f>
        <v>1479.8449999999998</v>
      </c>
      <c r="M164" s="41"/>
      <c r="N164" s="41"/>
      <c r="O164" s="41"/>
      <c r="P164" s="41"/>
      <c r="Q164" s="41"/>
      <c r="R164" s="7" t="e">
        <f>SUM(R165:R171)</f>
        <v>#REF!</v>
      </c>
      <c r="S164" s="7">
        <f>SUM(S165:S170)</f>
        <v>0</v>
      </c>
      <c r="T164" s="7">
        <f>SUM(T165:T171)</f>
        <v>8346.90606</v>
      </c>
      <c r="U164" s="7">
        <f>SUM(U165:U171)</f>
        <v>12500</v>
      </c>
      <c r="V164" s="7" t="e">
        <f>SUM(V165:V170)</f>
        <v>#REF!</v>
      </c>
      <c r="W164" s="7">
        <f>SUM(W165:W171)</f>
        <v>3456.21342</v>
      </c>
      <c r="X164" s="7">
        <f>SUM(X165:X170)</f>
        <v>0</v>
      </c>
      <c r="Y164" s="7">
        <f>SUM(Y165:Y171)</f>
        <v>2669.8343800000002</v>
      </c>
      <c r="Z164" s="7">
        <f>SUM(Z165:Z171)</f>
        <v>668.897</v>
      </c>
      <c r="AA164" s="7">
        <f>SUM(AA165:AA170)</f>
        <v>117.48204</v>
      </c>
      <c r="AB164" s="7" t="e">
        <f>SUM(AB165:AB171)</f>
        <v>#REF!</v>
      </c>
      <c r="AC164" s="7">
        <f>SUM(AC165:AC170)</f>
        <v>0</v>
      </c>
      <c r="AD164" s="7">
        <f>SUM(AD165:AD171)</f>
        <v>11016.74044</v>
      </c>
      <c r="AE164" s="7">
        <f>SUM(AE165:AE171)</f>
        <v>13168.897</v>
      </c>
      <c r="AF164" s="7" t="e">
        <f>SUM(AF165:AF170)</f>
        <v>#REF!</v>
      </c>
      <c r="AG164" s="20" t="e">
        <f>SUM(AG165:AG171)</f>
        <v>#REF!</v>
      </c>
      <c r="AH164" s="7" t="e">
        <f>SUM(AH165:AH170)</f>
        <v>#REF!</v>
      </c>
      <c r="AI164" s="7" t="e">
        <f>SUM(AI165:AI171)</f>
        <v>#REF!</v>
      </c>
      <c r="AJ164" s="7" t="e">
        <f>SUM(AJ165:AJ171)</f>
        <v>#REF!</v>
      </c>
      <c r="AK164" s="7" t="e">
        <f>SUM(AK165:AK170)</f>
        <v>#REF!</v>
      </c>
    </row>
    <row r="165" spans="1:37" s="28" customFormat="1" ht="20.25" customHeight="1">
      <c r="A165" s="85">
        <v>131</v>
      </c>
      <c r="B165" s="27" t="s">
        <v>183</v>
      </c>
      <c r="C165" s="134"/>
      <c r="D165" s="134"/>
      <c r="E165" s="134"/>
      <c r="F165" s="134"/>
      <c r="G165" s="134"/>
      <c r="H165" s="37">
        <f aca="true" t="shared" si="77" ref="H165:H171">I165+J165+K165+L165</f>
        <v>1125.1799999999998</v>
      </c>
      <c r="I165" s="11"/>
      <c r="J165" s="11">
        <v>597.582</v>
      </c>
      <c r="K165" s="11"/>
      <c r="L165" s="49">
        <v>527.598</v>
      </c>
      <c r="M165" s="46"/>
      <c r="N165" s="46"/>
      <c r="O165" s="46"/>
      <c r="P165" s="46"/>
      <c r="Q165" s="46"/>
      <c r="R165" s="11" t="e">
        <f aca="true" t="shared" si="78" ref="R165:R171">S165+T165+U165+V165</f>
        <v>#REF!</v>
      </c>
      <c r="S165" s="11"/>
      <c r="T165" s="11">
        <f>495.99306</f>
        <v>495.99306</v>
      </c>
      <c r="U165" s="11"/>
      <c r="V165" s="11" t="e">
        <f>#REF!</f>
        <v>#REF!</v>
      </c>
      <c r="W165" s="11">
        <f aca="true" t="shared" si="79" ref="W165:W171">X165+Y165+Z165+AA165</f>
        <v>53.876819999999995</v>
      </c>
      <c r="X165" s="11"/>
      <c r="Y165" s="11">
        <v>26.10682</v>
      </c>
      <c r="Z165" s="11"/>
      <c r="AA165" s="11">
        <v>27.77</v>
      </c>
      <c r="AB165" s="11" t="e">
        <f aca="true" t="shared" si="80" ref="AB165:AB171">AC165+AD165+AE165+AF165</f>
        <v>#REF!</v>
      </c>
      <c r="AC165" s="11">
        <f aca="true" t="shared" si="81" ref="AC165:AF171">S165+X165</f>
        <v>0</v>
      </c>
      <c r="AD165" s="11">
        <f t="shared" si="81"/>
        <v>522.09988</v>
      </c>
      <c r="AE165" s="11">
        <f t="shared" si="81"/>
        <v>0</v>
      </c>
      <c r="AF165" s="11" t="e">
        <f t="shared" si="81"/>
        <v>#REF!</v>
      </c>
      <c r="AG165" s="10" t="e">
        <f aca="true" t="shared" si="82" ref="AG165:AG171">AH165+AI165+AJ165+AK165</f>
        <v>#REF!</v>
      </c>
      <c r="AH165" s="11" t="e">
        <f>#REF!-S165</f>
        <v>#REF!</v>
      </c>
      <c r="AI165" s="11" t="e">
        <f>#REF!-T165</f>
        <v>#REF!</v>
      </c>
      <c r="AJ165" s="11" t="e">
        <f>#REF!-U165</f>
        <v>#REF!</v>
      </c>
      <c r="AK165" s="11" t="e">
        <f>#REF!-V165</f>
        <v>#REF!</v>
      </c>
    </row>
    <row r="166" spans="1:37" s="28" customFormat="1" ht="20.25" customHeight="1" hidden="1">
      <c r="A166" s="85"/>
      <c r="B166" s="27" t="s">
        <v>184</v>
      </c>
      <c r="C166" s="134"/>
      <c r="D166" s="134"/>
      <c r="E166" s="134"/>
      <c r="F166" s="134"/>
      <c r="G166" s="134"/>
      <c r="H166" s="37">
        <f t="shared" si="77"/>
        <v>0</v>
      </c>
      <c r="I166" s="11"/>
      <c r="J166" s="11"/>
      <c r="K166" s="11"/>
      <c r="L166" s="49"/>
      <c r="M166" s="46"/>
      <c r="N166" s="46"/>
      <c r="O166" s="46"/>
      <c r="P166" s="46"/>
      <c r="Q166" s="46"/>
      <c r="R166" s="11">
        <f t="shared" si="78"/>
        <v>0</v>
      </c>
      <c r="S166" s="11"/>
      <c r="T166" s="11"/>
      <c r="U166" s="11"/>
      <c r="V166" s="11"/>
      <c r="W166" s="11">
        <f t="shared" si="79"/>
        <v>0</v>
      </c>
      <c r="X166" s="11"/>
      <c r="Y166" s="11"/>
      <c r="Z166" s="11"/>
      <c r="AA166" s="11"/>
      <c r="AB166" s="11">
        <f t="shared" si="80"/>
        <v>0</v>
      </c>
      <c r="AC166" s="11">
        <f t="shared" si="81"/>
        <v>0</v>
      </c>
      <c r="AD166" s="11">
        <f t="shared" si="81"/>
        <v>0</v>
      </c>
      <c r="AE166" s="11">
        <f t="shared" si="81"/>
        <v>0</v>
      </c>
      <c r="AF166" s="11">
        <f t="shared" si="81"/>
        <v>0</v>
      </c>
      <c r="AG166" s="10" t="e">
        <f t="shared" si="82"/>
        <v>#REF!</v>
      </c>
      <c r="AH166" s="11" t="e">
        <f>#REF!-S166</f>
        <v>#REF!</v>
      </c>
      <c r="AI166" s="11" t="e">
        <f>#REF!-T166</f>
        <v>#REF!</v>
      </c>
      <c r="AJ166" s="11" t="e">
        <f>#REF!-U166</f>
        <v>#REF!</v>
      </c>
      <c r="AK166" s="11" t="e">
        <f>#REF!-V166</f>
        <v>#REF!</v>
      </c>
    </row>
    <row r="167" spans="1:37" s="28" customFormat="1" ht="20.25" customHeight="1">
      <c r="A167" s="85">
        <v>132</v>
      </c>
      <c r="B167" s="27" t="s">
        <v>185</v>
      </c>
      <c r="C167" s="134"/>
      <c r="D167" s="134"/>
      <c r="E167" s="134"/>
      <c r="F167" s="134"/>
      <c r="G167" s="134"/>
      <c r="H167" s="37">
        <f t="shared" si="77"/>
        <v>516.22</v>
      </c>
      <c r="I167" s="11"/>
      <c r="J167" s="11">
        <v>516.22</v>
      </c>
      <c r="K167" s="11"/>
      <c r="L167" s="49"/>
      <c r="M167" s="46"/>
      <c r="N167" s="46"/>
      <c r="O167" s="46"/>
      <c r="P167" s="46"/>
      <c r="Q167" s="46"/>
      <c r="R167" s="11">
        <f t="shared" si="78"/>
        <v>516.22</v>
      </c>
      <c r="S167" s="11"/>
      <c r="T167" s="11">
        <f>239.812+276.408</f>
        <v>516.22</v>
      </c>
      <c r="U167" s="11"/>
      <c r="V167" s="11"/>
      <c r="W167" s="11">
        <f t="shared" si="79"/>
        <v>483.78</v>
      </c>
      <c r="X167" s="11"/>
      <c r="Y167" s="11">
        <v>483.78</v>
      </c>
      <c r="Z167" s="11"/>
      <c r="AA167" s="11"/>
      <c r="AB167" s="11">
        <f t="shared" si="80"/>
        <v>1000</v>
      </c>
      <c r="AC167" s="11">
        <f t="shared" si="81"/>
        <v>0</v>
      </c>
      <c r="AD167" s="11">
        <f t="shared" si="81"/>
        <v>1000</v>
      </c>
      <c r="AE167" s="11">
        <f t="shared" si="81"/>
        <v>0</v>
      </c>
      <c r="AF167" s="11">
        <f t="shared" si="81"/>
        <v>0</v>
      </c>
      <c r="AG167" s="10" t="e">
        <f t="shared" si="82"/>
        <v>#REF!</v>
      </c>
      <c r="AH167" s="11" t="e">
        <f>#REF!-S167</f>
        <v>#REF!</v>
      </c>
      <c r="AI167" s="11" t="e">
        <f>#REF!-T167</f>
        <v>#REF!</v>
      </c>
      <c r="AJ167" s="11" t="e">
        <f>#REF!-U167</f>
        <v>#REF!</v>
      </c>
      <c r="AK167" s="11" t="e">
        <f>#REF!-V167</f>
        <v>#REF!</v>
      </c>
    </row>
    <row r="168" spans="1:37" s="28" customFormat="1" ht="22.5" customHeight="1">
      <c r="A168" s="85">
        <v>133</v>
      </c>
      <c r="B168" s="27" t="s">
        <v>186</v>
      </c>
      <c r="C168" s="134"/>
      <c r="D168" s="134"/>
      <c r="E168" s="134"/>
      <c r="F168" s="134"/>
      <c r="G168" s="134"/>
      <c r="H168" s="37">
        <f t="shared" si="77"/>
        <v>1247.601</v>
      </c>
      <c r="I168" s="11"/>
      <c r="J168" s="11">
        <v>1247.601</v>
      </c>
      <c r="K168" s="11"/>
      <c r="L168" s="49"/>
      <c r="M168" s="46"/>
      <c r="N168" s="46"/>
      <c r="O168" s="46"/>
      <c r="P168" s="46"/>
      <c r="Q168" s="46"/>
      <c r="R168" s="11">
        <f t="shared" si="78"/>
        <v>1247.601</v>
      </c>
      <c r="S168" s="11"/>
      <c r="T168" s="11">
        <f>668.022+579.579</f>
        <v>1247.601</v>
      </c>
      <c r="U168" s="11"/>
      <c r="V168" s="11"/>
      <c r="W168" s="11">
        <f t="shared" si="79"/>
        <v>278.988</v>
      </c>
      <c r="X168" s="11"/>
      <c r="Y168" s="11">
        <v>278.988</v>
      </c>
      <c r="Z168" s="11"/>
      <c r="AA168" s="11"/>
      <c r="AB168" s="11">
        <f t="shared" si="80"/>
        <v>1526.5890000000002</v>
      </c>
      <c r="AC168" s="11">
        <f t="shared" si="81"/>
        <v>0</v>
      </c>
      <c r="AD168" s="11">
        <f t="shared" si="81"/>
        <v>1526.5890000000002</v>
      </c>
      <c r="AE168" s="11">
        <f t="shared" si="81"/>
        <v>0</v>
      </c>
      <c r="AF168" s="11">
        <f t="shared" si="81"/>
        <v>0</v>
      </c>
      <c r="AG168" s="10" t="e">
        <f t="shared" si="82"/>
        <v>#REF!</v>
      </c>
      <c r="AH168" s="11" t="e">
        <f>#REF!-S168</f>
        <v>#REF!</v>
      </c>
      <c r="AI168" s="11" t="e">
        <f>#REF!-T168</f>
        <v>#REF!</v>
      </c>
      <c r="AJ168" s="11" t="e">
        <f>#REF!-U168</f>
        <v>#REF!</v>
      </c>
      <c r="AK168" s="11" t="e">
        <f>#REF!-V168</f>
        <v>#REF!</v>
      </c>
    </row>
    <row r="169" spans="1:37" s="28" customFormat="1" ht="20.25" customHeight="1">
      <c r="A169" s="85">
        <v>134</v>
      </c>
      <c r="B169" s="27" t="s">
        <v>187</v>
      </c>
      <c r="C169" s="134"/>
      <c r="D169" s="134"/>
      <c r="E169" s="134"/>
      <c r="F169" s="134"/>
      <c r="G169" s="134"/>
      <c r="H169" s="37">
        <f t="shared" si="77"/>
        <v>16751.337</v>
      </c>
      <c r="I169" s="11"/>
      <c r="J169" s="11">
        <v>4251.337</v>
      </c>
      <c r="K169" s="11">
        <v>12500</v>
      </c>
      <c r="L169" s="49"/>
      <c r="M169" s="46"/>
      <c r="N169" s="46"/>
      <c r="O169" s="46"/>
      <c r="P169" s="46"/>
      <c r="Q169" s="46"/>
      <c r="R169" s="11">
        <f t="shared" si="78"/>
        <v>16751.337</v>
      </c>
      <c r="S169" s="11"/>
      <c r="T169" s="11">
        <v>4251.337</v>
      </c>
      <c r="U169" s="11">
        <v>12500</v>
      </c>
      <c r="V169" s="11"/>
      <c r="W169" s="11">
        <f t="shared" si="79"/>
        <v>896.1510000000001</v>
      </c>
      <c r="X169" s="11"/>
      <c r="Y169" s="11">
        <v>227.254</v>
      </c>
      <c r="Z169" s="11">
        <v>668.897</v>
      </c>
      <c r="AA169" s="11"/>
      <c r="AB169" s="11">
        <f t="shared" si="80"/>
        <v>17647.488</v>
      </c>
      <c r="AC169" s="11">
        <f t="shared" si="81"/>
        <v>0</v>
      </c>
      <c r="AD169" s="11">
        <f t="shared" si="81"/>
        <v>4478.591</v>
      </c>
      <c r="AE169" s="11">
        <f t="shared" si="81"/>
        <v>13168.897</v>
      </c>
      <c r="AF169" s="11">
        <f t="shared" si="81"/>
        <v>0</v>
      </c>
      <c r="AG169" s="10" t="e">
        <f t="shared" si="82"/>
        <v>#REF!</v>
      </c>
      <c r="AH169" s="11" t="e">
        <f>#REF!-S169</f>
        <v>#REF!</v>
      </c>
      <c r="AI169" s="11" t="e">
        <f>#REF!-T169</f>
        <v>#REF!</v>
      </c>
      <c r="AJ169" s="11" t="e">
        <f>#REF!-U169</f>
        <v>#REF!</v>
      </c>
      <c r="AK169" s="11" t="e">
        <f>#REF!-V169</f>
        <v>#REF!</v>
      </c>
    </row>
    <row r="170" spans="1:37" s="28" customFormat="1" ht="20.25" customHeight="1">
      <c r="A170" s="85">
        <v>135</v>
      </c>
      <c r="B170" s="27" t="s">
        <v>188</v>
      </c>
      <c r="C170" s="134"/>
      <c r="D170" s="134"/>
      <c r="E170" s="134"/>
      <c r="F170" s="134"/>
      <c r="G170" s="134"/>
      <c r="H170" s="37">
        <f t="shared" si="77"/>
        <v>2049.807</v>
      </c>
      <c r="I170" s="11"/>
      <c r="J170" s="11">
        <f>1097.56</f>
        <v>1097.56</v>
      </c>
      <c r="K170" s="11"/>
      <c r="L170" s="49">
        <v>952.247</v>
      </c>
      <c r="M170" s="46"/>
      <c r="N170" s="46"/>
      <c r="O170" s="46"/>
      <c r="P170" s="46"/>
      <c r="Q170" s="46"/>
      <c r="R170" s="11">
        <f t="shared" si="78"/>
        <v>2049.807</v>
      </c>
      <c r="S170" s="11"/>
      <c r="T170" s="11">
        <v>1097.56</v>
      </c>
      <c r="U170" s="11"/>
      <c r="V170" s="11">
        <v>952.247</v>
      </c>
      <c r="W170" s="11">
        <f t="shared" si="79"/>
        <v>1655.15864</v>
      </c>
      <c r="X170" s="11"/>
      <c r="Y170" s="11">
        <v>1565.4466</v>
      </c>
      <c r="Z170" s="11"/>
      <c r="AA170" s="11">
        <v>89.71204</v>
      </c>
      <c r="AB170" s="11">
        <f t="shared" si="80"/>
        <v>3704.9656399999994</v>
      </c>
      <c r="AC170" s="11">
        <f t="shared" si="81"/>
        <v>0</v>
      </c>
      <c r="AD170" s="11">
        <f t="shared" si="81"/>
        <v>2663.0065999999997</v>
      </c>
      <c r="AE170" s="11">
        <f t="shared" si="81"/>
        <v>0</v>
      </c>
      <c r="AF170" s="11">
        <f t="shared" si="81"/>
        <v>1041.95904</v>
      </c>
      <c r="AG170" s="10" t="e">
        <f t="shared" si="82"/>
        <v>#REF!</v>
      </c>
      <c r="AH170" s="11" t="e">
        <f>#REF!-S170</f>
        <v>#REF!</v>
      </c>
      <c r="AI170" s="11" t="e">
        <f>#REF!-T170</f>
        <v>#REF!</v>
      </c>
      <c r="AJ170" s="11" t="e">
        <f>#REF!-U170</f>
        <v>#REF!</v>
      </c>
      <c r="AK170" s="11" t="e">
        <f>#REF!-V170</f>
        <v>#REF!</v>
      </c>
    </row>
    <row r="171" spans="1:37" s="28" customFormat="1" ht="20.25" customHeight="1">
      <c r="A171" s="85">
        <v>136</v>
      </c>
      <c r="B171" s="72" t="s">
        <v>189</v>
      </c>
      <c r="C171" s="133"/>
      <c r="D171" s="133"/>
      <c r="E171" s="133"/>
      <c r="F171" s="133"/>
      <c r="G171" s="133"/>
      <c r="H171" s="37">
        <f t="shared" si="77"/>
        <v>738.195</v>
      </c>
      <c r="I171" s="11"/>
      <c r="J171" s="11">
        <v>738.195</v>
      </c>
      <c r="K171" s="11"/>
      <c r="L171" s="49"/>
      <c r="M171" s="46"/>
      <c r="N171" s="46"/>
      <c r="O171" s="46"/>
      <c r="P171" s="46"/>
      <c r="Q171" s="46"/>
      <c r="R171" s="11">
        <f t="shared" si="78"/>
        <v>738.195</v>
      </c>
      <c r="S171" s="11"/>
      <c r="T171" s="11">
        <v>738.195</v>
      </c>
      <c r="U171" s="11"/>
      <c r="V171" s="11"/>
      <c r="W171" s="11">
        <f t="shared" si="79"/>
        <v>88.25896</v>
      </c>
      <c r="X171" s="11"/>
      <c r="Y171" s="11">
        <v>88.25896</v>
      </c>
      <c r="Z171" s="11"/>
      <c r="AA171" s="11"/>
      <c r="AB171" s="11">
        <f t="shared" si="80"/>
        <v>826.45396</v>
      </c>
      <c r="AC171" s="11">
        <f t="shared" si="81"/>
        <v>0</v>
      </c>
      <c r="AD171" s="11">
        <f t="shared" si="81"/>
        <v>826.45396</v>
      </c>
      <c r="AE171" s="11">
        <f t="shared" si="81"/>
        <v>0</v>
      </c>
      <c r="AF171" s="11">
        <f t="shared" si="81"/>
        <v>0</v>
      </c>
      <c r="AG171" s="10" t="e">
        <f t="shared" si="82"/>
        <v>#REF!</v>
      </c>
      <c r="AH171" s="11" t="e">
        <f>#REF!-S171</f>
        <v>#REF!</v>
      </c>
      <c r="AI171" s="11" t="e">
        <f>#REF!-T171</f>
        <v>#REF!</v>
      </c>
      <c r="AJ171" s="11" t="e">
        <f>#REF!-U171</f>
        <v>#REF!</v>
      </c>
      <c r="AK171" s="11" t="e">
        <f>#REF!-V171</f>
        <v>#REF!</v>
      </c>
    </row>
    <row r="172" spans="1:37" s="28" customFormat="1" ht="20.25" customHeight="1">
      <c r="A172" s="4"/>
      <c r="B172" s="1" t="s">
        <v>14</v>
      </c>
      <c r="C172" s="132"/>
      <c r="D172" s="132"/>
      <c r="E172" s="132"/>
      <c r="F172" s="132"/>
      <c r="G172" s="132"/>
      <c r="H172" s="39">
        <f>SUM(H173:H180)</f>
        <v>75153.87539999999</v>
      </c>
      <c r="I172" s="7">
        <f>SUM(I173:I180)</f>
        <v>0</v>
      </c>
      <c r="J172" s="7">
        <f>SUM(J173:J180)</f>
        <v>11447.193</v>
      </c>
      <c r="K172" s="7">
        <f>SUM(K173:K180)</f>
        <v>58228.1164</v>
      </c>
      <c r="L172" s="40">
        <f>SUM(L173:L180)</f>
        <v>5478.566</v>
      </c>
      <c r="M172" s="41"/>
      <c r="N172" s="41"/>
      <c r="O172" s="41"/>
      <c r="P172" s="41"/>
      <c r="Q172" s="41"/>
      <c r="R172" s="7">
        <f>SUM(R173:R180)</f>
        <v>75151.11739999999</v>
      </c>
      <c r="S172" s="7">
        <f>SUM(S173:S180)</f>
        <v>0</v>
      </c>
      <c r="T172" s="7">
        <f>SUM(T173:T180)</f>
        <v>11444.435000000001</v>
      </c>
      <c r="U172" s="7">
        <f>SUM(U173:U180)</f>
        <v>58228.11639999999</v>
      </c>
      <c r="V172" s="7">
        <f>SUM(V173:V180)</f>
        <v>5478.566</v>
      </c>
      <c r="W172" s="7">
        <f aca="true" t="shared" si="83" ref="W172:AK172">SUM(W173:W180)</f>
        <v>6931.1521</v>
      </c>
      <c r="X172" s="7">
        <f t="shared" si="83"/>
        <v>0</v>
      </c>
      <c r="Y172" s="7">
        <f t="shared" si="83"/>
        <v>2955.44949</v>
      </c>
      <c r="Z172" s="7">
        <f t="shared" si="83"/>
        <v>3068.90254</v>
      </c>
      <c r="AA172" s="7">
        <f t="shared" si="83"/>
        <v>906.80007</v>
      </c>
      <c r="AB172" s="7">
        <f t="shared" si="83"/>
        <v>82082.26950000001</v>
      </c>
      <c r="AC172" s="7">
        <f t="shared" si="83"/>
        <v>0</v>
      </c>
      <c r="AD172" s="7">
        <f t="shared" si="83"/>
        <v>14399.88449</v>
      </c>
      <c r="AE172" s="7">
        <f t="shared" si="83"/>
        <v>61297.018939999994</v>
      </c>
      <c r="AF172" s="7">
        <f t="shared" si="83"/>
        <v>6385.366069999999</v>
      </c>
      <c r="AG172" s="20" t="e">
        <f t="shared" si="83"/>
        <v>#REF!</v>
      </c>
      <c r="AH172" s="7" t="e">
        <f t="shared" si="83"/>
        <v>#REF!</v>
      </c>
      <c r="AI172" s="7" t="e">
        <f t="shared" si="83"/>
        <v>#REF!</v>
      </c>
      <c r="AJ172" s="7" t="e">
        <f t="shared" si="83"/>
        <v>#REF!</v>
      </c>
      <c r="AK172" s="7" t="e">
        <f t="shared" si="83"/>
        <v>#REF!</v>
      </c>
    </row>
    <row r="173" spans="1:37" s="28" customFormat="1" ht="20.25" customHeight="1">
      <c r="A173" s="85">
        <v>137</v>
      </c>
      <c r="B173" s="27" t="s">
        <v>190</v>
      </c>
      <c r="C173" s="134"/>
      <c r="D173" s="134"/>
      <c r="E173" s="134"/>
      <c r="F173" s="134"/>
      <c r="G173" s="134"/>
      <c r="H173" s="37">
        <f aca="true" t="shared" si="84" ref="H173:H180">I173+J173+K173+L173</f>
        <v>1031.408</v>
      </c>
      <c r="I173" s="11"/>
      <c r="J173" s="11">
        <v>1031.408</v>
      </c>
      <c r="K173" s="11"/>
      <c r="L173" s="49"/>
      <c r="M173" s="46"/>
      <c r="N173" s="46"/>
      <c r="O173" s="46"/>
      <c r="P173" s="46"/>
      <c r="Q173" s="46"/>
      <c r="R173" s="11">
        <f aca="true" t="shared" si="85" ref="R173:R180">S173+T173+U173+V173</f>
        <v>1028.65</v>
      </c>
      <c r="S173" s="11"/>
      <c r="T173" s="11">
        <f>479.145+549.505</f>
        <v>1028.65</v>
      </c>
      <c r="U173" s="11"/>
      <c r="V173" s="11"/>
      <c r="W173" s="11">
        <f aca="true" t="shared" si="86" ref="W173:W180">X173+Y173+Z173+AA173</f>
        <v>839.15504</v>
      </c>
      <c r="X173" s="11"/>
      <c r="Y173" s="11">
        <v>839.15504</v>
      </c>
      <c r="Z173" s="11"/>
      <c r="AA173" s="11"/>
      <c r="AB173" s="11">
        <f aca="true" t="shared" si="87" ref="AB173:AB180">AC173+AD173+AE173+AF173</f>
        <v>1867.8050400000002</v>
      </c>
      <c r="AC173" s="11">
        <f aca="true" t="shared" si="88" ref="AC173:AF180">S173+X173</f>
        <v>0</v>
      </c>
      <c r="AD173" s="11">
        <f t="shared" si="88"/>
        <v>1867.8050400000002</v>
      </c>
      <c r="AE173" s="11">
        <f t="shared" si="88"/>
        <v>0</v>
      </c>
      <c r="AF173" s="11">
        <f t="shared" si="88"/>
        <v>0</v>
      </c>
      <c r="AG173" s="10" t="e">
        <f aca="true" t="shared" si="89" ref="AG173:AG180">AH173+AI173+AJ173+AK173</f>
        <v>#REF!</v>
      </c>
      <c r="AH173" s="11" t="e">
        <f>#REF!-S173</f>
        <v>#REF!</v>
      </c>
      <c r="AI173" s="11" t="e">
        <f>#REF!-T173</f>
        <v>#REF!</v>
      </c>
      <c r="AJ173" s="11" t="e">
        <f>#REF!-U173</f>
        <v>#REF!</v>
      </c>
      <c r="AK173" s="11" t="e">
        <f>#REF!-V173</f>
        <v>#REF!</v>
      </c>
    </row>
    <row r="174" spans="1:37" s="28" customFormat="1" ht="25.5" customHeight="1">
      <c r="A174" s="85">
        <v>138</v>
      </c>
      <c r="B174" s="27" t="s">
        <v>191</v>
      </c>
      <c r="C174" s="134"/>
      <c r="D174" s="134"/>
      <c r="E174" s="134"/>
      <c r="F174" s="134"/>
      <c r="G174" s="134"/>
      <c r="H174" s="37">
        <f t="shared" si="84"/>
        <v>3071.511</v>
      </c>
      <c r="I174" s="11"/>
      <c r="J174" s="11">
        <f>1644.627+1426.884</f>
        <v>3071.511</v>
      </c>
      <c r="K174" s="11"/>
      <c r="L174" s="49"/>
      <c r="M174" s="46"/>
      <c r="N174" s="46"/>
      <c r="O174" s="46"/>
      <c r="P174" s="46"/>
      <c r="Q174" s="46"/>
      <c r="R174" s="11">
        <f t="shared" si="85"/>
        <v>3071.511</v>
      </c>
      <c r="S174" s="11"/>
      <c r="T174" s="11">
        <f>1533.78475+1537.72625</f>
        <v>3071.511</v>
      </c>
      <c r="U174" s="11"/>
      <c r="V174" s="11"/>
      <c r="W174" s="11">
        <f t="shared" si="86"/>
        <v>1144.28145</v>
      </c>
      <c r="X174" s="11"/>
      <c r="Y174" s="11">
        <v>1144.28145</v>
      </c>
      <c r="Z174" s="11"/>
      <c r="AA174" s="11"/>
      <c r="AB174" s="11">
        <f t="shared" si="87"/>
        <v>4215.79245</v>
      </c>
      <c r="AC174" s="11">
        <f t="shared" si="88"/>
        <v>0</v>
      </c>
      <c r="AD174" s="11">
        <f t="shared" si="88"/>
        <v>4215.79245</v>
      </c>
      <c r="AE174" s="11">
        <f t="shared" si="88"/>
        <v>0</v>
      </c>
      <c r="AF174" s="11">
        <f t="shared" si="88"/>
        <v>0</v>
      </c>
      <c r="AG174" s="10" t="e">
        <f t="shared" si="89"/>
        <v>#REF!</v>
      </c>
      <c r="AH174" s="11" t="e">
        <f>#REF!-S174</f>
        <v>#REF!</v>
      </c>
      <c r="AI174" s="11" t="e">
        <f>#REF!-T174</f>
        <v>#REF!</v>
      </c>
      <c r="AJ174" s="11" t="e">
        <f>#REF!-U174</f>
        <v>#REF!</v>
      </c>
      <c r="AK174" s="11" t="e">
        <f>#REF!-V174</f>
        <v>#REF!</v>
      </c>
    </row>
    <row r="175" spans="1:37" s="28" customFormat="1" ht="20.25" customHeight="1">
      <c r="A175" s="85">
        <v>139</v>
      </c>
      <c r="B175" s="27" t="s">
        <v>192</v>
      </c>
      <c r="C175" s="134"/>
      <c r="D175" s="134"/>
      <c r="E175" s="134"/>
      <c r="F175" s="134"/>
      <c r="G175" s="134"/>
      <c r="H175" s="37">
        <f t="shared" si="84"/>
        <v>808.163</v>
      </c>
      <c r="I175" s="11"/>
      <c r="J175" s="11"/>
      <c r="K175" s="11"/>
      <c r="L175" s="49">
        <v>808.163</v>
      </c>
      <c r="M175" s="46"/>
      <c r="N175" s="46"/>
      <c r="O175" s="46"/>
      <c r="P175" s="46"/>
      <c r="Q175" s="46"/>
      <c r="R175" s="11">
        <f t="shared" si="85"/>
        <v>808.163</v>
      </c>
      <c r="S175" s="11"/>
      <c r="T175" s="11"/>
      <c r="U175" s="11"/>
      <c r="V175" s="11">
        <v>808.163</v>
      </c>
      <c r="W175" s="11">
        <f t="shared" si="86"/>
        <v>42.6</v>
      </c>
      <c r="X175" s="11"/>
      <c r="Y175" s="11"/>
      <c r="Z175" s="11"/>
      <c r="AA175" s="11">
        <v>42.6</v>
      </c>
      <c r="AB175" s="11">
        <f t="shared" si="87"/>
        <v>850.763</v>
      </c>
      <c r="AC175" s="11">
        <f t="shared" si="88"/>
        <v>0</v>
      </c>
      <c r="AD175" s="11">
        <f t="shared" si="88"/>
        <v>0</v>
      </c>
      <c r="AE175" s="11">
        <f t="shared" si="88"/>
        <v>0</v>
      </c>
      <c r="AF175" s="11">
        <f t="shared" si="88"/>
        <v>850.763</v>
      </c>
      <c r="AG175" s="10" t="e">
        <f t="shared" si="89"/>
        <v>#REF!</v>
      </c>
      <c r="AH175" s="11" t="e">
        <f>#REF!-S175</f>
        <v>#REF!</v>
      </c>
      <c r="AI175" s="11" t="e">
        <f>#REF!-T175</f>
        <v>#REF!</v>
      </c>
      <c r="AJ175" s="11" t="e">
        <f>#REF!-U175</f>
        <v>#REF!</v>
      </c>
      <c r="AK175" s="11" t="e">
        <f>#REF!-V175</f>
        <v>#REF!</v>
      </c>
    </row>
    <row r="176" spans="1:37" s="28" customFormat="1" ht="20.25" customHeight="1">
      <c r="A176" s="85">
        <v>140</v>
      </c>
      <c r="B176" s="27" t="s">
        <v>193</v>
      </c>
      <c r="C176" s="134"/>
      <c r="D176" s="134"/>
      <c r="E176" s="134"/>
      <c r="F176" s="134"/>
      <c r="G176" s="134"/>
      <c r="H176" s="37">
        <f t="shared" si="84"/>
        <v>1428.227</v>
      </c>
      <c r="I176" s="11"/>
      <c r="J176" s="11">
        <v>966.138</v>
      </c>
      <c r="K176" s="11"/>
      <c r="L176" s="49">
        <v>462.089</v>
      </c>
      <c r="M176" s="46"/>
      <c r="N176" s="46"/>
      <c r="O176" s="46"/>
      <c r="P176" s="46"/>
      <c r="Q176" s="46"/>
      <c r="R176" s="11">
        <f t="shared" si="85"/>
        <v>1428.227</v>
      </c>
      <c r="S176" s="11"/>
      <c r="T176" s="11">
        <v>966.138</v>
      </c>
      <c r="U176" s="11"/>
      <c r="V176" s="11">
        <v>462.089</v>
      </c>
      <c r="W176" s="11">
        <f t="shared" si="86"/>
        <v>255.26662</v>
      </c>
      <c r="X176" s="11"/>
      <c r="Y176" s="11">
        <v>167.60008</v>
      </c>
      <c r="Z176" s="11"/>
      <c r="AA176" s="11">
        <v>87.66654</v>
      </c>
      <c r="AB176" s="11">
        <f t="shared" si="87"/>
        <v>1683.4936200000002</v>
      </c>
      <c r="AC176" s="11">
        <f t="shared" si="88"/>
        <v>0</v>
      </c>
      <c r="AD176" s="11">
        <f t="shared" si="88"/>
        <v>1133.73808</v>
      </c>
      <c r="AE176" s="11">
        <f t="shared" si="88"/>
        <v>0</v>
      </c>
      <c r="AF176" s="11">
        <f t="shared" si="88"/>
        <v>549.75554</v>
      </c>
      <c r="AG176" s="10" t="e">
        <f t="shared" si="89"/>
        <v>#REF!</v>
      </c>
      <c r="AH176" s="11" t="e">
        <f>#REF!-S176</f>
        <v>#REF!</v>
      </c>
      <c r="AI176" s="11" t="e">
        <f>#REF!-T176</f>
        <v>#REF!</v>
      </c>
      <c r="AJ176" s="11" t="e">
        <f>#REF!-U176</f>
        <v>#REF!</v>
      </c>
      <c r="AK176" s="11" t="e">
        <f>#REF!-V176</f>
        <v>#REF!</v>
      </c>
    </row>
    <row r="177" spans="1:37" s="28" customFormat="1" ht="20.25" customHeight="1">
      <c r="A177" s="85">
        <v>141</v>
      </c>
      <c r="B177" s="27" t="s">
        <v>194</v>
      </c>
      <c r="C177" s="134"/>
      <c r="D177" s="134"/>
      <c r="E177" s="134"/>
      <c r="F177" s="134"/>
      <c r="G177" s="134"/>
      <c r="H177" s="37">
        <f t="shared" si="84"/>
        <v>275.784</v>
      </c>
      <c r="I177" s="11"/>
      <c r="J177" s="11">
        <v>275.784</v>
      </c>
      <c r="K177" s="11"/>
      <c r="L177" s="49"/>
      <c r="M177" s="46"/>
      <c r="N177" s="46"/>
      <c r="O177" s="46"/>
      <c r="P177" s="46"/>
      <c r="Q177" s="46"/>
      <c r="R177" s="11">
        <f t="shared" si="85"/>
        <v>275.784</v>
      </c>
      <c r="S177" s="11"/>
      <c r="T177" s="11">
        <v>275.784</v>
      </c>
      <c r="U177" s="11"/>
      <c r="V177" s="11"/>
      <c r="W177" s="11">
        <f t="shared" si="86"/>
        <v>123.047</v>
      </c>
      <c r="X177" s="11"/>
      <c r="Y177" s="11">
        <v>123.047</v>
      </c>
      <c r="Z177" s="11"/>
      <c r="AA177" s="11"/>
      <c r="AB177" s="11">
        <f t="shared" si="87"/>
        <v>398.831</v>
      </c>
      <c r="AC177" s="11">
        <f t="shared" si="88"/>
        <v>0</v>
      </c>
      <c r="AD177" s="11">
        <f t="shared" si="88"/>
        <v>398.831</v>
      </c>
      <c r="AE177" s="11">
        <f t="shared" si="88"/>
        <v>0</v>
      </c>
      <c r="AF177" s="11">
        <f t="shared" si="88"/>
        <v>0</v>
      </c>
      <c r="AG177" s="10" t="e">
        <f t="shared" si="89"/>
        <v>#REF!</v>
      </c>
      <c r="AH177" s="11" t="e">
        <f>#REF!-S177</f>
        <v>#REF!</v>
      </c>
      <c r="AI177" s="11" t="e">
        <f>#REF!-T177</f>
        <v>#REF!</v>
      </c>
      <c r="AJ177" s="11" t="e">
        <f>#REF!-U177</f>
        <v>#REF!</v>
      </c>
      <c r="AK177" s="11" t="e">
        <f>#REF!-V177</f>
        <v>#REF!</v>
      </c>
    </row>
    <row r="178" spans="1:37" s="28" customFormat="1" ht="24" customHeight="1">
      <c r="A178" s="85">
        <v>142</v>
      </c>
      <c r="B178" s="27" t="s">
        <v>195</v>
      </c>
      <c r="C178" s="134"/>
      <c r="D178" s="134"/>
      <c r="E178" s="134"/>
      <c r="F178" s="134"/>
      <c r="G178" s="134"/>
      <c r="H178" s="37">
        <f t="shared" si="84"/>
        <v>64335.740399999995</v>
      </c>
      <c r="I178" s="11"/>
      <c r="J178" s="11">
        <v>3851.812</v>
      </c>
      <c r="K178" s="11">
        <f>37684.884+20543.2324</f>
        <v>58228.1164</v>
      </c>
      <c r="L178" s="49">
        <v>2255.812</v>
      </c>
      <c r="M178" s="46"/>
      <c r="N178" s="46"/>
      <c r="O178" s="46"/>
      <c r="P178" s="46"/>
      <c r="Q178" s="46"/>
      <c r="R178" s="11">
        <f t="shared" si="85"/>
        <v>64335.74039999999</v>
      </c>
      <c r="S178" s="11"/>
      <c r="T178" s="11">
        <f>808.87373+3042.93827</f>
        <v>3851.812</v>
      </c>
      <c r="U178" s="11">
        <f>37684.884+10636.96012+9906.27228</f>
        <v>58228.11639999999</v>
      </c>
      <c r="V178" s="11">
        <f>1441.177+555.338+259.297</f>
        <v>2255.812</v>
      </c>
      <c r="W178" s="11">
        <f t="shared" si="86"/>
        <v>3926.8689900000004</v>
      </c>
      <c r="X178" s="11"/>
      <c r="Y178" s="11">
        <v>334.20092</v>
      </c>
      <c r="Z178" s="11">
        <v>3068.90254</v>
      </c>
      <c r="AA178" s="11">
        <v>523.76553</v>
      </c>
      <c r="AB178" s="11">
        <f t="shared" si="87"/>
        <v>68262.60939</v>
      </c>
      <c r="AC178" s="11">
        <f t="shared" si="88"/>
        <v>0</v>
      </c>
      <c r="AD178" s="11">
        <f t="shared" si="88"/>
        <v>4186.01292</v>
      </c>
      <c r="AE178" s="11">
        <f t="shared" si="88"/>
        <v>61297.018939999994</v>
      </c>
      <c r="AF178" s="11">
        <f t="shared" si="88"/>
        <v>2779.57753</v>
      </c>
      <c r="AG178" s="10" t="e">
        <f t="shared" si="89"/>
        <v>#REF!</v>
      </c>
      <c r="AH178" s="11" t="e">
        <f>#REF!-S178</f>
        <v>#REF!</v>
      </c>
      <c r="AI178" s="11" t="e">
        <f>#REF!-T178</f>
        <v>#REF!</v>
      </c>
      <c r="AJ178" s="11" t="e">
        <f>#REF!-U178</f>
        <v>#REF!</v>
      </c>
      <c r="AK178" s="11" t="e">
        <f>#REF!-V178</f>
        <v>#REF!</v>
      </c>
    </row>
    <row r="179" spans="1:37" s="28" customFormat="1" ht="22.5" customHeight="1">
      <c r="A179" s="85">
        <v>143</v>
      </c>
      <c r="B179" s="72" t="s">
        <v>196</v>
      </c>
      <c r="C179" s="133"/>
      <c r="D179" s="133"/>
      <c r="E179" s="133"/>
      <c r="F179" s="133"/>
      <c r="G179" s="133"/>
      <c r="H179" s="37">
        <f t="shared" si="84"/>
        <v>2853.59</v>
      </c>
      <c r="I179" s="11"/>
      <c r="J179" s="11">
        <v>1527.982</v>
      </c>
      <c r="K179" s="11"/>
      <c r="L179" s="49">
        <v>1325.608</v>
      </c>
      <c r="M179" s="46"/>
      <c r="N179" s="46"/>
      <c r="O179" s="46"/>
      <c r="P179" s="46"/>
      <c r="Q179" s="46"/>
      <c r="R179" s="11">
        <f t="shared" si="85"/>
        <v>2853.59</v>
      </c>
      <c r="S179" s="11"/>
      <c r="T179" s="11">
        <f>534.95365+466.9725+258.0922+267.96365</f>
        <v>1527.982</v>
      </c>
      <c r="U179" s="11"/>
      <c r="V179" s="11">
        <v>1325.608</v>
      </c>
      <c r="W179" s="11">
        <f t="shared" si="86"/>
        <v>150.321</v>
      </c>
      <c r="X179" s="11"/>
      <c r="Y179" s="11">
        <f>27.68715+28.28635+24.5775</f>
        <v>80.551</v>
      </c>
      <c r="Z179" s="11"/>
      <c r="AA179" s="11">
        <v>69.77</v>
      </c>
      <c r="AB179" s="11">
        <f t="shared" si="87"/>
        <v>3003.911</v>
      </c>
      <c r="AC179" s="11">
        <f t="shared" si="88"/>
        <v>0</v>
      </c>
      <c r="AD179" s="11">
        <f t="shared" si="88"/>
        <v>1608.533</v>
      </c>
      <c r="AE179" s="11">
        <f t="shared" si="88"/>
        <v>0</v>
      </c>
      <c r="AF179" s="11">
        <f t="shared" si="88"/>
        <v>1395.378</v>
      </c>
      <c r="AG179" s="10" t="e">
        <f t="shared" si="89"/>
        <v>#REF!</v>
      </c>
      <c r="AH179" s="11" t="e">
        <f>#REF!-S179</f>
        <v>#REF!</v>
      </c>
      <c r="AI179" s="11" t="e">
        <f>#REF!-T179</f>
        <v>#REF!</v>
      </c>
      <c r="AJ179" s="11" t="e">
        <f>#REF!-U179</f>
        <v>#REF!</v>
      </c>
      <c r="AK179" s="11" t="e">
        <f>#REF!-V179</f>
        <v>#REF!</v>
      </c>
    </row>
    <row r="180" spans="1:37" s="28" customFormat="1" ht="20.25" customHeight="1">
      <c r="A180" s="85">
        <v>144</v>
      </c>
      <c r="B180" s="72" t="s">
        <v>197</v>
      </c>
      <c r="C180" s="133"/>
      <c r="D180" s="133"/>
      <c r="E180" s="133"/>
      <c r="F180" s="133"/>
      <c r="G180" s="133"/>
      <c r="H180" s="37">
        <f t="shared" si="84"/>
        <v>1349.452</v>
      </c>
      <c r="I180" s="11"/>
      <c r="J180" s="11">
        <v>722.558</v>
      </c>
      <c r="K180" s="11"/>
      <c r="L180" s="49">
        <v>626.894</v>
      </c>
      <c r="M180" s="46"/>
      <c r="N180" s="46"/>
      <c r="O180" s="46"/>
      <c r="P180" s="46"/>
      <c r="Q180" s="46"/>
      <c r="R180" s="11">
        <f t="shared" si="85"/>
        <v>1349.452</v>
      </c>
      <c r="S180" s="11"/>
      <c r="T180" s="11">
        <v>722.558</v>
      </c>
      <c r="U180" s="11"/>
      <c r="V180" s="11">
        <v>626.894</v>
      </c>
      <c r="W180" s="11">
        <f t="shared" si="86"/>
        <v>449.61199999999997</v>
      </c>
      <c r="X180" s="11"/>
      <c r="Y180" s="11">
        <v>266.614</v>
      </c>
      <c r="Z180" s="11"/>
      <c r="AA180" s="11">
        <v>182.998</v>
      </c>
      <c r="AB180" s="11">
        <f t="shared" si="87"/>
        <v>1799.064</v>
      </c>
      <c r="AC180" s="11">
        <f t="shared" si="88"/>
        <v>0</v>
      </c>
      <c r="AD180" s="11">
        <f t="shared" si="88"/>
        <v>989.172</v>
      </c>
      <c r="AE180" s="11">
        <f t="shared" si="88"/>
        <v>0</v>
      </c>
      <c r="AF180" s="11">
        <f t="shared" si="88"/>
        <v>809.892</v>
      </c>
      <c r="AG180" s="10" t="e">
        <f t="shared" si="89"/>
        <v>#REF!</v>
      </c>
      <c r="AH180" s="11" t="e">
        <f>#REF!-S180</f>
        <v>#REF!</v>
      </c>
      <c r="AI180" s="11" t="e">
        <f>#REF!-T180</f>
        <v>#REF!</v>
      </c>
      <c r="AJ180" s="11" t="e">
        <f>#REF!-U180</f>
        <v>#REF!</v>
      </c>
      <c r="AK180" s="11" t="e">
        <f>#REF!-V180</f>
        <v>#REF!</v>
      </c>
    </row>
    <row r="181" spans="1:37" s="28" customFormat="1" ht="20.25" customHeight="1">
      <c r="A181" s="4"/>
      <c r="B181" s="1" t="s">
        <v>4</v>
      </c>
      <c r="C181" s="132"/>
      <c r="D181" s="132"/>
      <c r="E181" s="132"/>
      <c r="F181" s="132"/>
      <c r="G181" s="132"/>
      <c r="H181" s="39">
        <f>SUM(H182:H193)</f>
        <v>28815.72</v>
      </c>
      <c r="I181" s="7">
        <f>SUM(I182:I193)</f>
        <v>0</v>
      </c>
      <c r="J181" s="7">
        <f>SUM(J182:J193)</f>
        <v>16085.039000000002</v>
      </c>
      <c r="K181" s="7">
        <f>SUM(K182:K193)</f>
        <v>5409.947</v>
      </c>
      <c r="L181" s="40">
        <f>SUM(L182:L193)</f>
        <v>7320.734</v>
      </c>
      <c r="M181" s="41"/>
      <c r="N181" s="41"/>
      <c r="O181" s="41"/>
      <c r="P181" s="41"/>
      <c r="Q181" s="41"/>
      <c r="R181" s="7" t="e">
        <f>SUM(R182:R193)</f>
        <v>#REF!</v>
      </c>
      <c r="S181" s="7">
        <f>SUM(S182:S193)</f>
        <v>0</v>
      </c>
      <c r="T181" s="7" t="e">
        <f>SUM(T182:T193)</f>
        <v>#REF!</v>
      </c>
      <c r="U181" s="7" t="e">
        <f>SUM(U182:U193)</f>
        <v>#REF!</v>
      </c>
      <c r="V181" s="7">
        <f>SUM(V182:V193)</f>
        <v>6618.366</v>
      </c>
      <c r="W181" s="7">
        <f aca="true" t="shared" si="90" ref="W181:AK181">SUM(W182:W193)</f>
        <v>6598.15642</v>
      </c>
      <c r="X181" s="7">
        <f t="shared" si="90"/>
        <v>0</v>
      </c>
      <c r="Y181" s="7">
        <f t="shared" si="90"/>
        <v>5503.00382</v>
      </c>
      <c r="Z181" s="7">
        <f t="shared" si="90"/>
        <v>412.32263</v>
      </c>
      <c r="AA181" s="7">
        <f t="shared" si="90"/>
        <v>682.82997</v>
      </c>
      <c r="AB181" s="7" t="e">
        <f t="shared" si="90"/>
        <v>#REF!</v>
      </c>
      <c r="AC181" s="7">
        <f t="shared" si="90"/>
        <v>0</v>
      </c>
      <c r="AD181" s="7" t="e">
        <f t="shared" si="90"/>
        <v>#REF!</v>
      </c>
      <c r="AE181" s="7" t="e">
        <f t="shared" si="90"/>
        <v>#REF!</v>
      </c>
      <c r="AF181" s="7">
        <f t="shared" si="90"/>
        <v>7301.195969999999</v>
      </c>
      <c r="AG181" s="20" t="e">
        <f t="shared" si="90"/>
        <v>#REF!</v>
      </c>
      <c r="AH181" s="7" t="e">
        <f t="shared" si="90"/>
        <v>#REF!</v>
      </c>
      <c r="AI181" s="7" t="e">
        <f t="shared" si="90"/>
        <v>#REF!</v>
      </c>
      <c r="AJ181" s="7" t="e">
        <f t="shared" si="90"/>
        <v>#REF!</v>
      </c>
      <c r="AK181" s="7" t="e">
        <f t="shared" si="90"/>
        <v>#REF!</v>
      </c>
    </row>
    <row r="182" spans="1:37" s="28" customFormat="1" ht="24.75" customHeight="1">
      <c r="A182" s="85">
        <v>145</v>
      </c>
      <c r="B182" s="27" t="s">
        <v>198</v>
      </c>
      <c r="C182" s="134"/>
      <c r="D182" s="134"/>
      <c r="E182" s="134"/>
      <c r="F182" s="134"/>
      <c r="G182" s="134"/>
      <c r="H182" s="37">
        <f aca="true" t="shared" si="91" ref="H182:H193">I182+J182+K182+L182</f>
        <v>2221.089</v>
      </c>
      <c r="I182" s="11"/>
      <c r="J182" s="11">
        <v>1189.272</v>
      </c>
      <c r="K182" s="11"/>
      <c r="L182" s="49">
        <v>1031.817</v>
      </c>
      <c r="M182" s="46"/>
      <c r="N182" s="46"/>
      <c r="O182" s="46"/>
      <c r="P182" s="46"/>
      <c r="Q182" s="46"/>
      <c r="R182" s="11">
        <f aca="true" t="shared" si="92" ref="R182:R193">S182+T182+U182+V182</f>
        <v>2221.089</v>
      </c>
      <c r="S182" s="11"/>
      <c r="T182" s="11">
        <f>753.944+435.328</f>
        <v>1189.272</v>
      </c>
      <c r="U182" s="11"/>
      <c r="V182" s="11">
        <f>1031.817</f>
        <v>1031.817</v>
      </c>
      <c r="W182" s="11">
        <f aca="true" t="shared" si="93" ref="W182:W193">X182+Y182+Z182+AA182</f>
        <v>3257.7848400000003</v>
      </c>
      <c r="X182" s="11"/>
      <c r="Y182" s="11">
        <v>3171.51168</v>
      </c>
      <c r="Z182" s="11"/>
      <c r="AA182" s="11">
        <v>86.27316</v>
      </c>
      <c r="AB182" s="11">
        <f aca="true" t="shared" si="94" ref="AB182:AB193">AC182+AD182+AE182+AF182</f>
        <v>5478.87384</v>
      </c>
      <c r="AC182" s="11">
        <f aca="true" t="shared" si="95" ref="AC182:AF193">S182+X182</f>
        <v>0</v>
      </c>
      <c r="AD182" s="11">
        <f t="shared" si="95"/>
        <v>4360.7836800000005</v>
      </c>
      <c r="AE182" s="11">
        <f t="shared" si="95"/>
        <v>0</v>
      </c>
      <c r="AF182" s="11">
        <f t="shared" si="95"/>
        <v>1118.09016</v>
      </c>
      <c r="AG182" s="10" t="e">
        <f aca="true" t="shared" si="96" ref="AG182:AG193">AH182+AI182+AJ182+AK182</f>
        <v>#REF!</v>
      </c>
      <c r="AH182" s="11" t="e">
        <f>#REF!-S182</f>
        <v>#REF!</v>
      </c>
      <c r="AI182" s="11" t="e">
        <f>#REF!-T182</f>
        <v>#REF!</v>
      </c>
      <c r="AJ182" s="11" t="e">
        <f>#REF!-U182</f>
        <v>#REF!</v>
      </c>
      <c r="AK182" s="11" t="e">
        <f>#REF!-V182</f>
        <v>#REF!</v>
      </c>
    </row>
    <row r="183" spans="1:37" s="28" customFormat="1" ht="20.25" customHeight="1">
      <c r="A183" s="85">
        <v>146</v>
      </c>
      <c r="B183" s="27" t="s">
        <v>199</v>
      </c>
      <c r="C183" s="134"/>
      <c r="D183" s="134"/>
      <c r="E183" s="134"/>
      <c r="F183" s="134"/>
      <c r="G183" s="134"/>
      <c r="H183" s="37">
        <f t="shared" si="91"/>
        <v>2034.336</v>
      </c>
      <c r="I183" s="11"/>
      <c r="J183" s="11">
        <v>2034.336</v>
      </c>
      <c r="K183" s="11"/>
      <c r="L183" s="49"/>
      <c r="M183" s="46"/>
      <c r="N183" s="46"/>
      <c r="O183" s="46"/>
      <c r="P183" s="46"/>
      <c r="Q183" s="46"/>
      <c r="R183" s="11">
        <f t="shared" si="92"/>
        <v>2034.336</v>
      </c>
      <c r="S183" s="11"/>
      <c r="T183" s="11">
        <f>506.19084+616.99752+303.71588+303.71588+303.71588</f>
        <v>2034.336</v>
      </c>
      <c r="U183" s="11"/>
      <c r="V183" s="11"/>
      <c r="W183" s="11">
        <f t="shared" si="93"/>
        <v>129.65209</v>
      </c>
      <c r="X183" s="11"/>
      <c r="Y183" s="11">
        <v>129.65209</v>
      </c>
      <c r="Z183" s="11"/>
      <c r="AA183" s="11"/>
      <c r="AB183" s="11">
        <f t="shared" si="94"/>
        <v>2163.98809</v>
      </c>
      <c r="AC183" s="11">
        <f t="shared" si="95"/>
        <v>0</v>
      </c>
      <c r="AD183" s="11">
        <f t="shared" si="95"/>
        <v>2163.98809</v>
      </c>
      <c r="AE183" s="11">
        <f t="shared" si="95"/>
        <v>0</v>
      </c>
      <c r="AF183" s="11">
        <f t="shared" si="95"/>
        <v>0</v>
      </c>
      <c r="AG183" s="10" t="e">
        <f t="shared" si="96"/>
        <v>#REF!</v>
      </c>
      <c r="AH183" s="11" t="e">
        <f>#REF!-S183</f>
        <v>#REF!</v>
      </c>
      <c r="AI183" s="11" t="e">
        <f>#REF!-T183</f>
        <v>#REF!</v>
      </c>
      <c r="AJ183" s="11" t="e">
        <f>#REF!-U183</f>
        <v>#REF!</v>
      </c>
      <c r="AK183" s="11" t="e">
        <f>#REF!-V183</f>
        <v>#REF!</v>
      </c>
    </row>
    <row r="184" spans="1:37" s="28" customFormat="1" ht="20.25" customHeight="1">
      <c r="A184" s="85">
        <v>147</v>
      </c>
      <c r="B184" s="27" t="s">
        <v>200</v>
      </c>
      <c r="C184" s="134"/>
      <c r="D184" s="134"/>
      <c r="E184" s="134"/>
      <c r="F184" s="134"/>
      <c r="G184" s="134"/>
      <c r="H184" s="37">
        <f t="shared" si="91"/>
        <v>9931.576000000001</v>
      </c>
      <c r="I184" s="11"/>
      <c r="J184" s="11">
        <v>2454.849</v>
      </c>
      <c r="K184" s="11">
        <v>5409.947</v>
      </c>
      <c r="L184" s="49">
        <v>2066.78</v>
      </c>
      <c r="M184" s="46"/>
      <c r="N184" s="46"/>
      <c r="O184" s="46"/>
      <c r="P184" s="46"/>
      <c r="Q184" s="46"/>
      <c r="R184" s="11" t="e">
        <f t="shared" si="92"/>
        <v>#REF!</v>
      </c>
      <c r="S184" s="11"/>
      <c r="T184" s="11">
        <f>1486.583+924.742</f>
        <v>2411.325</v>
      </c>
      <c r="U184" s="11" t="e">
        <f>#REF!</f>
        <v>#REF!</v>
      </c>
      <c r="V184" s="11">
        <f>267.119+1688.035</f>
        <v>1955.154</v>
      </c>
      <c r="W184" s="11">
        <f t="shared" si="93"/>
        <v>642.13884</v>
      </c>
      <c r="X184" s="11"/>
      <c r="Y184" s="11">
        <v>126.91242</v>
      </c>
      <c r="Z184" s="11">
        <v>412.32263</v>
      </c>
      <c r="AA184" s="11">
        <v>102.90379</v>
      </c>
      <c r="AB184" s="11" t="e">
        <f t="shared" si="94"/>
        <v>#REF!</v>
      </c>
      <c r="AC184" s="11">
        <f t="shared" si="95"/>
        <v>0</v>
      </c>
      <c r="AD184" s="11">
        <f t="shared" si="95"/>
        <v>2538.23742</v>
      </c>
      <c r="AE184" s="11" t="e">
        <f t="shared" si="95"/>
        <v>#REF!</v>
      </c>
      <c r="AF184" s="11">
        <f t="shared" si="95"/>
        <v>2058.05779</v>
      </c>
      <c r="AG184" s="10" t="e">
        <f t="shared" si="96"/>
        <v>#REF!</v>
      </c>
      <c r="AH184" s="11" t="e">
        <f>#REF!-S184</f>
        <v>#REF!</v>
      </c>
      <c r="AI184" s="11" t="e">
        <f>#REF!-T184</f>
        <v>#REF!</v>
      </c>
      <c r="AJ184" s="11" t="e">
        <f>#REF!-U184</f>
        <v>#REF!</v>
      </c>
      <c r="AK184" s="11" t="e">
        <f>#REF!-V184</f>
        <v>#REF!</v>
      </c>
    </row>
    <row r="185" spans="1:37" s="28" customFormat="1" ht="22.5" customHeight="1">
      <c r="A185" s="85">
        <v>148</v>
      </c>
      <c r="B185" s="27" t="s">
        <v>201</v>
      </c>
      <c r="C185" s="134"/>
      <c r="D185" s="134"/>
      <c r="E185" s="134"/>
      <c r="F185" s="134"/>
      <c r="G185" s="134"/>
      <c r="H185" s="37">
        <f t="shared" si="91"/>
        <v>1424.368</v>
      </c>
      <c r="I185" s="11"/>
      <c r="J185" s="11">
        <v>1424.368</v>
      </c>
      <c r="K185" s="11"/>
      <c r="L185" s="49"/>
      <c r="M185" s="46"/>
      <c r="N185" s="46"/>
      <c r="O185" s="46"/>
      <c r="P185" s="46"/>
      <c r="Q185" s="46"/>
      <c r="R185" s="11">
        <f t="shared" si="92"/>
        <v>1417.64</v>
      </c>
      <c r="S185" s="11"/>
      <c r="T185" s="11">
        <v>1417.64</v>
      </c>
      <c r="U185" s="11"/>
      <c r="V185" s="11"/>
      <c r="W185" s="11">
        <f t="shared" si="93"/>
        <v>74.61322</v>
      </c>
      <c r="X185" s="11"/>
      <c r="Y185" s="11">
        <v>74.61322</v>
      </c>
      <c r="Z185" s="11"/>
      <c r="AA185" s="11"/>
      <c r="AB185" s="11">
        <f t="shared" si="94"/>
        <v>1492.25322</v>
      </c>
      <c r="AC185" s="11">
        <f t="shared" si="95"/>
        <v>0</v>
      </c>
      <c r="AD185" s="11">
        <f t="shared" si="95"/>
        <v>1492.25322</v>
      </c>
      <c r="AE185" s="11">
        <f t="shared" si="95"/>
        <v>0</v>
      </c>
      <c r="AF185" s="11">
        <f t="shared" si="95"/>
        <v>0</v>
      </c>
      <c r="AG185" s="10" t="e">
        <f t="shared" si="96"/>
        <v>#REF!</v>
      </c>
      <c r="AH185" s="11" t="e">
        <f>#REF!-S185</f>
        <v>#REF!</v>
      </c>
      <c r="AI185" s="11" t="e">
        <f>#REF!-T185</f>
        <v>#REF!</v>
      </c>
      <c r="AJ185" s="11" t="e">
        <f>#REF!-U185</f>
        <v>#REF!</v>
      </c>
      <c r="AK185" s="11" t="e">
        <f>#REF!-V185</f>
        <v>#REF!</v>
      </c>
    </row>
    <row r="186" spans="1:37" s="28" customFormat="1" ht="20.25" customHeight="1">
      <c r="A186" s="85">
        <v>149</v>
      </c>
      <c r="B186" s="27" t="s">
        <v>202</v>
      </c>
      <c r="C186" s="134"/>
      <c r="D186" s="134"/>
      <c r="E186" s="134"/>
      <c r="F186" s="134"/>
      <c r="G186" s="134"/>
      <c r="H186" s="37">
        <f t="shared" si="91"/>
        <v>318.714</v>
      </c>
      <c r="I186" s="11"/>
      <c r="J186" s="11">
        <v>170.654</v>
      </c>
      <c r="K186" s="11"/>
      <c r="L186" s="49">
        <v>148.06</v>
      </c>
      <c r="M186" s="46"/>
      <c r="N186" s="46"/>
      <c r="O186" s="46"/>
      <c r="P186" s="46"/>
      <c r="Q186" s="46"/>
      <c r="R186" s="11">
        <f t="shared" si="92"/>
        <v>318.714</v>
      </c>
      <c r="S186" s="11"/>
      <c r="T186" s="11">
        <v>170.654</v>
      </c>
      <c r="U186" s="11"/>
      <c r="V186" s="11">
        <v>148.06</v>
      </c>
      <c r="W186" s="11">
        <f t="shared" si="93"/>
        <v>256.59182</v>
      </c>
      <c r="X186" s="11"/>
      <c r="Y186" s="11">
        <v>203.63727</v>
      </c>
      <c r="Z186" s="11"/>
      <c r="AA186" s="11">
        <v>52.95455</v>
      </c>
      <c r="AB186" s="11">
        <f t="shared" si="94"/>
        <v>575.30582</v>
      </c>
      <c r="AC186" s="11">
        <f t="shared" si="95"/>
        <v>0</v>
      </c>
      <c r="AD186" s="11">
        <f t="shared" si="95"/>
        <v>374.29127</v>
      </c>
      <c r="AE186" s="11">
        <f t="shared" si="95"/>
        <v>0</v>
      </c>
      <c r="AF186" s="11">
        <f t="shared" si="95"/>
        <v>201.01454999999999</v>
      </c>
      <c r="AG186" s="10" t="e">
        <f t="shared" si="96"/>
        <v>#REF!</v>
      </c>
      <c r="AH186" s="11" t="e">
        <f>#REF!-S186</f>
        <v>#REF!</v>
      </c>
      <c r="AI186" s="11" t="e">
        <f>#REF!-T186</f>
        <v>#REF!</v>
      </c>
      <c r="AJ186" s="11" t="e">
        <f>#REF!-U186</f>
        <v>#REF!</v>
      </c>
      <c r="AK186" s="11" t="e">
        <f>#REF!-V186</f>
        <v>#REF!</v>
      </c>
    </row>
    <row r="187" spans="1:37" s="28" customFormat="1" ht="20.25" customHeight="1">
      <c r="A187" s="85">
        <v>150</v>
      </c>
      <c r="B187" s="27" t="s">
        <v>203</v>
      </c>
      <c r="C187" s="134"/>
      <c r="D187" s="134"/>
      <c r="E187" s="134"/>
      <c r="F187" s="134"/>
      <c r="G187" s="134"/>
      <c r="H187" s="37">
        <f t="shared" si="91"/>
        <v>1127.941</v>
      </c>
      <c r="I187" s="11"/>
      <c r="J187" s="11">
        <v>1127.941</v>
      </c>
      <c r="K187" s="11"/>
      <c r="L187" s="49"/>
      <c r="M187" s="46"/>
      <c r="N187" s="46"/>
      <c r="O187" s="46"/>
      <c r="P187" s="46"/>
      <c r="Q187" s="46"/>
      <c r="R187" s="11">
        <f t="shared" si="92"/>
        <v>1127.941</v>
      </c>
      <c r="S187" s="11"/>
      <c r="T187" s="11">
        <v>1127.941</v>
      </c>
      <c r="U187" s="11"/>
      <c r="V187" s="11"/>
      <c r="W187" s="11">
        <f t="shared" si="93"/>
        <v>752.91193</v>
      </c>
      <c r="X187" s="11"/>
      <c r="Y187" s="11">
        <v>752.91193</v>
      </c>
      <c r="Z187" s="11"/>
      <c r="AA187" s="11"/>
      <c r="AB187" s="11">
        <f t="shared" si="94"/>
        <v>1880.85293</v>
      </c>
      <c r="AC187" s="11">
        <f t="shared" si="95"/>
        <v>0</v>
      </c>
      <c r="AD187" s="11">
        <f t="shared" si="95"/>
        <v>1880.85293</v>
      </c>
      <c r="AE187" s="11">
        <f t="shared" si="95"/>
        <v>0</v>
      </c>
      <c r="AF187" s="11">
        <f t="shared" si="95"/>
        <v>0</v>
      </c>
      <c r="AG187" s="10" t="e">
        <f t="shared" si="96"/>
        <v>#REF!</v>
      </c>
      <c r="AH187" s="11" t="e">
        <f>#REF!-S187</f>
        <v>#REF!</v>
      </c>
      <c r="AI187" s="11" t="e">
        <f>#REF!-T187</f>
        <v>#REF!</v>
      </c>
      <c r="AJ187" s="11" t="e">
        <f>#REF!-U187</f>
        <v>#REF!</v>
      </c>
      <c r="AK187" s="11" t="e">
        <f>#REF!-V187</f>
        <v>#REF!</v>
      </c>
    </row>
    <row r="188" spans="1:37" s="28" customFormat="1" ht="20.25" customHeight="1">
      <c r="A188" s="85">
        <v>151</v>
      </c>
      <c r="B188" s="27" t="s">
        <v>204</v>
      </c>
      <c r="C188" s="134"/>
      <c r="D188" s="134"/>
      <c r="E188" s="134"/>
      <c r="F188" s="134"/>
      <c r="G188" s="134"/>
      <c r="H188" s="37">
        <f t="shared" si="91"/>
        <v>8769.859</v>
      </c>
      <c r="I188" s="11"/>
      <c r="J188" s="11">
        <v>4695.782</v>
      </c>
      <c r="K188" s="11"/>
      <c r="L188" s="49">
        <v>4074.077</v>
      </c>
      <c r="M188" s="46"/>
      <c r="N188" s="46"/>
      <c r="O188" s="46"/>
      <c r="P188" s="46"/>
      <c r="Q188" s="46"/>
      <c r="R188" s="11">
        <f t="shared" si="92"/>
        <v>7362.495</v>
      </c>
      <c r="S188" s="11"/>
      <c r="T188" s="11">
        <f>3879.16</f>
        <v>3879.16</v>
      </c>
      <c r="U188" s="11"/>
      <c r="V188" s="11">
        <v>3483.335</v>
      </c>
      <c r="W188" s="11">
        <f t="shared" si="93"/>
        <v>829.25591</v>
      </c>
      <c r="X188" s="11"/>
      <c r="Y188" s="11">
        <v>388.55744</v>
      </c>
      <c r="Z188" s="11"/>
      <c r="AA188" s="11">
        <v>440.69847</v>
      </c>
      <c r="AB188" s="11">
        <f t="shared" si="94"/>
        <v>8191.750909999999</v>
      </c>
      <c r="AC188" s="11">
        <f t="shared" si="95"/>
        <v>0</v>
      </c>
      <c r="AD188" s="11">
        <f t="shared" si="95"/>
        <v>4267.717439999999</v>
      </c>
      <c r="AE188" s="11">
        <f t="shared" si="95"/>
        <v>0</v>
      </c>
      <c r="AF188" s="11">
        <f t="shared" si="95"/>
        <v>3924.03347</v>
      </c>
      <c r="AG188" s="10" t="e">
        <f t="shared" si="96"/>
        <v>#REF!</v>
      </c>
      <c r="AH188" s="11" t="e">
        <f>#REF!-S188</f>
        <v>#REF!</v>
      </c>
      <c r="AI188" s="11" t="e">
        <f>#REF!-T188</f>
        <v>#REF!</v>
      </c>
      <c r="AJ188" s="11" t="e">
        <f>#REF!-U188</f>
        <v>#REF!</v>
      </c>
      <c r="AK188" s="11" t="e">
        <f>#REF!-V188</f>
        <v>#REF!</v>
      </c>
    </row>
    <row r="189" spans="1:37" s="28" customFormat="1" ht="31.5" customHeight="1">
      <c r="A189" s="85">
        <v>152</v>
      </c>
      <c r="B189" s="27" t="s">
        <v>205</v>
      </c>
      <c r="C189" s="134"/>
      <c r="D189" s="134"/>
      <c r="E189" s="134"/>
      <c r="F189" s="134"/>
      <c r="G189" s="134"/>
      <c r="H189" s="37">
        <f t="shared" si="91"/>
        <v>1775.798</v>
      </c>
      <c r="I189" s="11"/>
      <c r="J189" s="11">
        <f>950.843+824.955</f>
        <v>1775.798</v>
      </c>
      <c r="K189" s="11"/>
      <c r="L189" s="49"/>
      <c r="M189" s="46"/>
      <c r="N189" s="46"/>
      <c r="O189" s="46"/>
      <c r="P189" s="46"/>
      <c r="Q189" s="46"/>
      <c r="R189" s="11">
        <f t="shared" si="92"/>
        <v>824.955</v>
      </c>
      <c r="S189" s="11"/>
      <c r="T189" s="11">
        <f>824.955</f>
        <v>824.955</v>
      </c>
      <c r="U189" s="11"/>
      <c r="V189" s="11"/>
      <c r="W189" s="11">
        <f t="shared" si="93"/>
        <v>125.045</v>
      </c>
      <c r="X189" s="11"/>
      <c r="Y189" s="11">
        <v>125.045</v>
      </c>
      <c r="Z189" s="11"/>
      <c r="AA189" s="11"/>
      <c r="AB189" s="11">
        <f t="shared" si="94"/>
        <v>950</v>
      </c>
      <c r="AC189" s="11">
        <f t="shared" si="95"/>
        <v>0</v>
      </c>
      <c r="AD189" s="11">
        <f t="shared" si="95"/>
        <v>950</v>
      </c>
      <c r="AE189" s="11">
        <f t="shared" si="95"/>
        <v>0</v>
      </c>
      <c r="AF189" s="11">
        <f t="shared" si="95"/>
        <v>0</v>
      </c>
      <c r="AG189" s="10" t="e">
        <f t="shared" si="96"/>
        <v>#REF!</v>
      </c>
      <c r="AH189" s="11" t="e">
        <f>#REF!-S189</f>
        <v>#REF!</v>
      </c>
      <c r="AI189" s="11" t="e">
        <f>#REF!-T189</f>
        <v>#REF!</v>
      </c>
      <c r="AJ189" s="11" t="e">
        <f>#REF!-U189</f>
        <v>#REF!</v>
      </c>
      <c r="AK189" s="11" t="e">
        <f>#REF!-V189</f>
        <v>#REF!</v>
      </c>
    </row>
    <row r="190" spans="1:37" s="28" customFormat="1" ht="20.25" customHeight="1" hidden="1">
      <c r="A190" s="85"/>
      <c r="B190" s="27" t="s">
        <v>206</v>
      </c>
      <c r="C190" s="134"/>
      <c r="D190" s="134"/>
      <c r="E190" s="134"/>
      <c r="F190" s="134"/>
      <c r="G190" s="134"/>
      <c r="H190" s="37">
        <f t="shared" si="91"/>
        <v>0</v>
      </c>
      <c r="I190" s="10"/>
      <c r="J190" s="15">
        <f>1193.494-1193.494</f>
        <v>0</v>
      </c>
      <c r="K190" s="10"/>
      <c r="L190" s="51"/>
      <c r="M190" s="46"/>
      <c r="N190" s="46"/>
      <c r="O190" s="46"/>
      <c r="P190" s="46"/>
      <c r="Q190" s="46"/>
      <c r="R190" s="11">
        <f t="shared" si="92"/>
        <v>0</v>
      </c>
      <c r="S190" s="11"/>
      <c r="T190" s="11"/>
      <c r="U190" s="11"/>
      <c r="V190" s="11"/>
      <c r="W190" s="11">
        <f t="shared" si="93"/>
        <v>0</v>
      </c>
      <c r="X190" s="11"/>
      <c r="Y190" s="11"/>
      <c r="Z190" s="11"/>
      <c r="AA190" s="11"/>
      <c r="AB190" s="11">
        <f t="shared" si="94"/>
        <v>0</v>
      </c>
      <c r="AC190" s="11">
        <f t="shared" si="95"/>
        <v>0</v>
      </c>
      <c r="AD190" s="11">
        <f t="shared" si="95"/>
        <v>0</v>
      </c>
      <c r="AE190" s="11">
        <f t="shared" si="95"/>
        <v>0</v>
      </c>
      <c r="AF190" s="11">
        <f t="shared" si="95"/>
        <v>0</v>
      </c>
      <c r="AG190" s="10" t="e">
        <f t="shared" si="96"/>
        <v>#REF!</v>
      </c>
      <c r="AH190" s="11" t="e">
        <f>#REF!-S190</f>
        <v>#REF!</v>
      </c>
      <c r="AI190" s="11" t="e">
        <f>#REF!-T190</f>
        <v>#REF!</v>
      </c>
      <c r="AJ190" s="11" t="e">
        <f>#REF!-U190</f>
        <v>#REF!</v>
      </c>
      <c r="AK190" s="11" t="e">
        <f>#REF!-V190</f>
        <v>#REF!</v>
      </c>
    </row>
    <row r="191" spans="1:37" s="28" customFormat="1" ht="20.25" customHeight="1">
      <c r="A191" s="85">
        <v>153</v>
      </c>
      <c r="B191" s="27" t="s">
        <v>207</v>
      </c>
      <c r="C191" s="134"/>
      <c r="D191" s="134"/>
      <c r="E191" s="134"/>
      <c r="F191" s="134"/>
      <c r="G191" s="134"/>
      <c r="H191" s="37">
        <f t="shared" si="91"/>
        <v>403.638</v>
      </c>
      <c r="I191" s="10"/>
      <c r="J191" s="17">
        <v>403.638</v>
      </c>
      <c r="K191" s="18"/>
      <c r="L191" s="78"/>
      <c r="M191" s="128"/>
      <c r="N191" s="128"/>
      <c r="O191" s="128"/>
      <c r="P191" s="128"/>
      <c r="Q191" s="128"/>
      <c r="R191" s="10" t="e">
        <f t="shared" si="92"/>
        <v>#REF!</v>
      </c>
      <c r="S191" s="11"/>
      <c r="T191" s="11" t="e">
        <f>#REF!</f>
        <v>#REF!</v>
      </c>
      <c r="U191" s="11"/>
      <c r="V191" s="11"/>
      <c r="W191" s="10">
        <f t="shared" si="93"/>
        <v>391.94617</v>
      </c>
      <c r="X191" s="11"/>
      <c r="Y191" s="11">
        <v>391.94617</v>
      </c>
      <c r="Z191" s="11"/>
      <c r="AA191" s="11"/>
      <c r="AB191" s="11" t="e">
        <f t="shared" si="94"/>
        <v>#REF!</v>
      </c>
      <c r="AC191" s="11">
        <f t="shared" si="95"/>
        <v>0</v>
      </c>
      <c r="AD191" s="11" t="e">
        <f t="shared" si="95"/>
        <v>#REF!</v>
      </c>
      <c r="AE191" s="11">
        <f t="shared" si="95"/>
        <v>0</v>
      </c>
      <c r="AF191" s="11">
        <f t="shared" si="95"/>
        <v>0</v>
      </c>
      <c r="AG191" s="10" t="e">
        <f t="shared" si="96"/>
        <v>#REF!</v>
      </c>
      <c r="AH191" s="11" t="e">
        <f>#REF!-S191</f>
        <v>#REF!</v>
      </c>
      <c r="AI191" s="11" t="e">
        <f>#REF!-T191</f>
        <v>#REF!</v>
      </c>
      <c r="AJ191" s="11" t="e">
        <f>#REF!-U191</f>
        <v>#REF!</v>
      </c>
      <c r="AK191" s="11" t="e">
        <f>#REF!-V191</f>
        <v>#REF!</v>
      </c>
    </row>
    <row r="192" spans="1:37" s="28" customFormat="1" ht="20.25" customHeight="1" hidden="1">
      <c r="A192" s="85"/>
      <c r="B192" s="27" t="s">
        <v>208</v>
      </c>
      <c r="C192" s="134"/>
      <c r="D192" s="134"/>
      <c r="E192" s="134"/>
      <c r="F192" s="134"/>
      <c r="G192" s="134"/>
      <c r="H192" s="37"/>
      <c r="I192" s="10"/>
      <c r="J192" s="17"/>
      <c r="K192" s="18"/>
      <c r="L192" s="78"/>
      <c r="M192" s="129"/>
      <c r="N192" s="129"/>
      <c r="O192" s="129"/>
      <c r="P192" s="129"/>
      <c r="Q192" s="129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0"/>
      <c r="AH192" s="11"/>
      <c r="AI192" s="11"/>
      <c r="AJ192" s="11"/>
      <c r="AK192" s="11"/>
    </row>
    <row r="193" spans="1:37" s="28" customFormat="1" ht="20.25" customHeight="1">
      <c r="A193" s="85">
        <v>154</v>
      </c>
      <c r="B193" s="27" t="s">
        <v>209</v>
      </c>
      <c r="C193" s="134"/>
      <c r="D193" s="134"/>
      <c r="E193" s="134"/>
      <c r="F193" s="134"/>
      <c r="G193" s="134"/>
      <c r="H193" s="37">
        <f t="shared" si="91"/>
        <v>808.401</v>
      </c>
      <c r="I193" s="10"/>
      <c r="J193" s="15">
        <v>808.401</v>
      </c>
      <c r="K193" s="16"/>
      <c r="L193" s="51"/>
      <c r="M193" s="46"/>
      <c r="N193" s="46"/>
      <c r="O193" s="46"/>
      <c r="P193" s="46"/>
      <c r="Q193" s="46"/>
      <c r="R193" s="11">
        <f t="shared" si="92"/>
        <v>808.401</v>
      </c>
      <c r="S193" s="11"/>
      <c r="T193" s="11">
        <f>808.401</f>
        <v>808.401</v>
      </c>
      <c r="U193" s="11"/>
      <c r="V193" s="11"/>
      <c r="W193" s="11">
        <f t="shared" si="93"/>
        <v>138.2166</v>
      </c>
      <c r="X193" s="11"/>
      <c r="Y193" s="11">
        <v>138.2166</v>
      </c>
      <c r="Z193" s="11"/>
      <c r="AA193" s="11"/>
      <c r="AB193" s="11">
        <f t="shared" si="94"/>
        <v>946.6175999999999</v>
      </c>
      <c r="AC193" s="11">
        <f t="shared" si="95"/>
        <v>0</v>
      </c>
      <c r="AD193" s="11">
        <f t="shared" si="95"/>
        <v>946.6175999999999</v>
      </c>
      <c r="AE193" s="11">
        <f t="shared" si="95"/>
        <v>0</v>
      </c>
      <c r="AF193" s="11">
        <f t="shared" si="95"/>
        <v>0</v>
      </c>
      <c r="AG193" s="10" t="e">
        <f t="shared" si="96"/>
        <v>#REF!</v>
      </c>
      <c r="AH193" s="11" t="e">
        <f>#REF!-S193</f>
        <v>#REF!</v>
      </c>
      <c r="AI193" s="11" t="e">
        <f>#REF!-T193</f>
        <v>#REF!</v>
      </c>
      <c r="AJ193" s="11" t="e">
        <f>#REF!-U193</f>
        <v>#REF!</v>
      </c>
      <c r="AK193" s="11" t="e">
        <f>#REF!-V193</f>
        <v>#REF!</v>
      </c>
    </row>
    <row r="194" spans="1:37" s="28" customFormat="1" ht="20.25" customHeight="1">
      <c r="A194" s="5"/>
      <c r="B194" s="2" t="s">
        <v>210</v>
      </c>
      <c r="C194" s="141"/>
      <c r="D194" s="141"/>
      <c r="E194" s="141"/>
      <c r="F194" s="141"/>
      <c r="G194" s="141"/>
      <c r="H194" s="39">
        <f>H5+H7+H10+H28+H43+H56+H70+H87+H93+H98+H109+H116+H132+H147+H149+H164+H172+H181</f>
        <v>647606.3826499999</v>
      </c>
      <c r="I194" s="20">
        <f>I5+I7+I10+I28+I43+I56+I70+I87+I93+I98+I109+I116+I132+I147+I149+I164+I172+I181</f>
        <v>126634.515</v>
      </c>
      <c r="J194" s="20">
        <f>J5+J7+J10+J28+J43+J56+J70+J87+J93+J98+J109+J116+J132+J147+J149+J164+J172+J181</f>
        <v>298726.67553999997</v>
      </c>
      <c r="K194" s="20">
        <f>K5+K7+K10+K28+K43+K56+K70+K87+K93+K98+K109+K116+K132+K147+K149+K164+K172+K181</f>
        <v>154333.85839999997</v>
      </c>
      <c r="L194" s="54">
        <f>L5+L7+L10+L28+L43+L56+L70+L87+L93+L98+L109+L116+L132+L147+L149+L164+L172+L181</f>
        <v>67911.33370999999</v>
      </c>
      <c r="M194" s="55"/>
      <c r="N194" s="55"/>
      <c r="O194" s="55"/>
      <c r="P194" s="55"/>
      <c r="Q194" s="55"/>
      <c r="R194" s="20" t="e">
        <f>R5+R7+R10+R28+R43+R56+R70+R87+R93+R98+R109+R116+R132+R147+R149+R164+R172+R181</f>
        <v>#REF!</v>
      </c>
      <c r="S194" s="20">
        <f>S5+S7+S10+S28+S43+S56+S70+S87+S93+S98+S109+S116+S132+S147+S149+S164+S172+S181</f>
        <v>26458.93458</v>
      </c>
      <c r="T194" s="20" t="e">
        <f>T5+T7+T10+T28+T43+T56+T70+T87+T93+T98+T109+T116+T132+T147+T149+T164+T172+T181</f>
        <v>#REF!</v>
      </c>
      <c r="U194" s="20" t="e">
        <f>U5+U7+U10+U28+U43+U56+U70+U87+U93+U98+U109+U116+U132+U147+U149+U164+U172+U181</f>
        <v>#REF!</v>
      </c>
      <c r="V194" s="20" t="e">
        <f>V5+V7+V10+V28+V43+V56+V70+V87+V93+V98+V109+V116+V132+V147+V149+V164+V172+V181</f>
        <v>#REF!</v>
      </c>
      <c r="W194" s="20">
        <f aca="true" t="shared" si="97" ref="W194:AK194">W5+W7+W10+W28+W43+W56+W70+W87+W93+W98+W109+W116+W132+W147+W149+W164+W172+W181</f>
        <v>91891.06625</v>
      </c>
      <c r="X194" s="20">
        <f t="shared" si="97"/>
        <v>1992.2794400000002</v>
      </c>
      <c r="Y194" s="20">
        <f t="shared" si="97"/>
        <v>65466.965469999996</v>
      </c>
      <c r="Z194" s="20">
        <f t="shared" si="97"/>
        <v>8926.81335</v>
      </c>
      <c r="AA194" s="20">
        <f t="shared" si="97"/>
        <v>15505.00799</v>
      </c>
      <c r="AB194" s="20" t="e">
        <f t="shared" si="97"/>
        <v>#REF!</v>
      </c>
      <c r="AC194" s="20">
        <f t="shared" si="97"/>
        <v>28451.21402</v>
      </c>
      <c r="AD194" s="20" t="e">
        <f t="shared" si="97"/>
        <v>#REF!</v>
      </c>
      <c r="AE194" s="20" t="e">
        <f t="shared" si="97"/>
        <v>#REF!</v>
      </c>
      <c r="AF194" s="20" t="e">
        <f t="shared" si="97"/>
        <v>#REF!</v>
      </c>
      <c r="AG194" s="20" t="e">
        <f t="shared" si="97"/>
        <v>#REF!</v>
      </c>
      <c r="AH194" s="20" t="e">
        <f t="shared" si="97"/>
        <v>#REF!</v>
      </c>
      <c r="AI194" s="20" t="e">
        <f t="shared" si="97"/>
        <v>#REF!</v>
      </c>
      <c r="AJ194" s="20" t="e">
        <f t="shared" si="97"/>
        <v>#REF!</v>
      </c>
      <c r="AK194" s="20" t="e">
        <f t="shared" si="97"/>
        <v>#REF!</v>
      </c>
    </row>
    <row r="195" spans="1:37" s="28" customFormat="1" ht="20.25" customHeight="1" hidden="1">
      <c r="A195" s="372"/>
      <c r="B195" s="373"/>
      <c r="C195" s="122"/>
      <c r="D195" s="122"/>
      <c r="E195" s="122"/>
      <c r="F195" s="122"/>
      <c r="G195" s="122"/>
      <c r="H195" s="56"/>
      <c r="I195" s="52"/>
      <c r="J195" s="52"/>
      <c r="K195" s="52"/>
      <c r="L195" s="57"/>
      <c r="M195" s="81"/>
      <c r="N195" s="81"/>
      <c r="O195" s="81"/>
      <c r="P195" s="81"/>
      <c r="Q195" s="81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11">
        <f>AC195+AD195+AE195+AF195</f>
        <v>0</v>
      </c>
      <c r="AC195" s="11">
        <f>S195+X195</f>
        <v>0</v>
      </c>
      <c r="AD195" s="11">
        <f>T195+Y195</f>
        <v>0</v>
      </c>
      <c r="AE195" s="11">
        <f>U195+Z195</f>
        <v>0</v>
      </c>
      <c r="AF195" s="11">
        <f>V195+AA195</f>
        <v>0</v>
      </c>
      <c r="AG195" s="10" t="e">
        <f>AH195+AI195+AJ195+AK195</f>
        <v>#REF!</v>
      </c>
      <c r="AH195" s="11" t="e">
        <f>#REF!-S195</f>
        <v>#REF!</v>
      </c>
      <c r="AI195" s="11" t="e">
        <f>#REF!-T195</f>
        <v>#REF!</v>
      </c>
      <c r="AJ195" s="11" t="e">
        <f>#REF!-U195</f>
        <v>#REF!</v>
      </c>
      <c r="AK195" s="11" t="e">
        <f>#REF!-V195</f>
        <v>#REF!</v>
      </c>
    </row>
    <row r="196" spans="1:37" s="28" customFormat="1" ht="20.25" customHeight="1">
      <c r="A196" s="5"/>
      <c r="B196" s="2" t="s">
        <v>211</v>
      </c>
      <c r="C196" s="141"/>
      <c r="D196" s="141"/>
      <c r="E196" s="141"/>
      <c r="F196" s="141"/>
      <c r="G196" s="141"/>
      <c r="H196" s="58">
        <f aca="true" t="shared" si="98" ref="H196:AK196">H194+H195</f>
        <v>647606.3826499999</v>
      </c>
      <c r="I196" s="19">
        <f t="shared" si="98"/>
        <v>126634.515</v>
      </c>
      <c r="J196" s="19">
        <f t="shared" si="98"/>
        <v>298726.67553999997</v>
      </c>
      <c r="K196" s="19">
        <f t="shared" si="98"/>
        <v>154333.85839999997</v>
      </c>
      <c r="L196" s="59">
        <f t="shared" si="98"/>
        <v>67911.33370999999</v>
      </c>
      <c r="M196" s="60"/>
      <c r="N196" s="60"/>
      <c r="O196" s="60"/>
      <c r="P196" s="60"/>
      <c r="Q196" s="60"/>
      <c r="R196" s="19" t="e">
        <f t="shared" si="98"/>
        <v>#REF!</v>
      </c>
      <c r="S196" s="19">
        <f t="shared" si="98"/>
        <v>26458.93458</v>
      </c>
      <c r="T196" s="19" t="e">
        <f t="shared" si="98"/>
        <v>#REF!</v>
      </c>
      <c r="U196" s="19" t="e">
        <f t="shared" si="98"/>
        <v>#REF!</v>
      </c>
      <c r="V196" s="19" t="e">
        <f t="shared" si="98"/>
        <v>#REF!</v>
      </c>
      <c r="W196" s="19">
        <f t="shared" si="98"/>
        <v>91891.06625</v>
      </c>
      <c r="X196" s="19">
        <f t="shared" si="98"/>
        <v>1992.2794400000002</v>
      </c>
      <c r="Y196" s="19">
        <f t="shared" si="98"/>
        <v>65466.965469999996</v>
      </c>
      <c r="Z196" s="19">
        <f t="shared" si="98"/>
        <v>8926.81335</v>
      </c>
      <c r="AA196" s="19">
        <f t="shared" si="98"/>
        <v>15505.00799</v>
      </c>
      <c r="AB196" s="19" t="e">
        <f t="shared" si="98"/>
        <v>#REF!</v>
      </c>
      <c r="AC196" s="19">
        <f t="shared" si="98"/>
        <v>28451.21402</v>
      </c>
      <c r="AD196" s="19" t="e">
        <f t="shared" si="98"/>
        <v>#REF!</v>
      </c>
      <c r="AE196" s="19" t="e">
        <f t="shared" si="98"/>
        <v>#REF!</v>
      </c>
      <c r="AF196" s="19" t="e">
        <f t="shared" si="98"/>
        <v>#REF!</v>
      </c>
      <c r="AG196" s="19" t="e">
        <f t="shared" si="98"/>
        <v>#REF!</v>
      </c>
      <c r="AH196" s="19" t="e">
        <f t="shared" si="98"/>
        <v>#REF!</v>
      </c>
      <c r="AI196" s="19" t="e">
        <f t="shared" si="98"/>
        <v>#REF!</v>
      </c>
      <c r="AJ196" s="19" t="e">
        <f t="shared" si="98"/>
        <v>#REF!</v>
      </c>
      <c r="AK196" s="19" t="e">
        <f t="shared" si="98"/>
        <v>#REF!</v>
      </c>
    </row>
    <row r="197" spans="1:37" s="71" customFormat="1" ht="36" customHeight="1">
      <c r="A197" s="70">
        <v>155</v>
      </c>
      <c r="B197" s="21" t="s">
        <v>217</v>
      </c>
      <c r="C197" s="139"/>
      <c r="D197" s="139"/>
      <c r="E197" s="139"/>
      <c r="F197" s="139"/>
      <c r="G197" s="139"/>
      <c r="H197" s="43">
        <f>I197</f>
        <v>13375.6</v>
      </c>
      <c r="I197" s="22">
        <v>13375.6</v>
      </c>
      <c r="J197" s="22"/>
      <c r="K197" s="22"/>
      <c r="L197" s="53"/>
      <c r="M197" s="82"/>
      <c r="N197" s="82"/>
      <c r="O197" s="82"/>
      <c r="P197" s="82"/>
      <c r="Q197" s="82"/>
      <c r="R197" s="22">
        <f>S197</f>
        <v>5761.25094</v>
      </c>
      <c r="S197" s="22">
        <f>2568.15836+3193.09258</f>
        <v>5761.25094</v>
      </c>
      <c r="T197" s="22"/>
      <c r="U197" s="22"/>
      <c r="V197" s="22"/>
      <c r="W197" s="22"/>
      <c r="X197" s="22"/>
      <c r="Y197" s="22"/>
      <c r="Z197" s="22"/>
      <c r="AA197" s="22"/>
      <c r="AB197" s="11">
        <f>AC197+AD197+AE197+AF197</f>
        <v>5761.25094</v>
      </c>
      <c r="AC197" s="11">
        <f>S197+X197</f>
        <v>5761.25094</v>
      </c>
      <c r="AD197" s="11"/>
      <c r="AE197" s="11"/>
      <c r="AF197" s="11"/>
      <c r="AG197" s="10">
        <f>AH197+AI197+AJ197+AK197</f>
        <v>0</v>
      </c>
      <c r="AH197" s="11">
        <v>0</v>
      </c>
      <c r="AI197" s="11"/>
      <c r="AJ197" s="11"/>
      <c r="AK197" s="11"/>
    </row>
    <row r="198" spans="1:37" s="28" customFormat="1" ht="20.25" customHeight="1">
      <c r="A198" s="5"/>
      <c r="B198" s="2" t="s">
        <v>211</v>
      </c>
      <c r="C198" s="141"/>
      <c r="D198" s="141"/>
      <c r="E198" s="141"/>
      <c r="F198" s="141"/>
      <c r="G198" s="141"/>
      <c r="H198" s="58">
        <f>I198+J198+K198+L198</f>
        <v>660981.98265</v>
      </c>
      <c r="I198" s="19">
        <f>I196+I197</f>
        <v>140010.115</v>
      </c>
      <c r="J198" s="19">
        <f>J196+J197</f>
        <v>298726.67553999997</v>
      </c>
      <c r="K198" s="19">
        <f>K196+K197</f>
        <v>154333.85839999997</v>
      </c>
      <c r="L198" s="59">
        <f>L196+L197</f>
        <v>67911.33370999999</v>
      </c>
      <c r="M198" s="60"/>
      <c r="N198" s="60"/>
      <c r="O198" s="60"/>
      <c r="P198" s="60"/>
      <c r="Q198" s="60"/>
      <c r="R198" s="19" t="e">
        <f>S198+T198+U198+V198</f>
        <v>#REF!</v>
      </c>
      <c r="S198" s="19">
        <f>S196+S197</f>
        <v>32220.18552</v>
      </c>
      <c r="T198" s="19" t="e">
        <f>T196+T197</f>
        <v>#REF!</v>
      </c>
      <c r="U198" s="19" t="e">
        <f>U196+U197</f>
        <v>#REF!</v>
      </c>
      <c r="V198" s="19" t="e">
        <f>V196+V197</f>
        <v>#REF!</v>
      </c>
      <c r="W198" s="19"/>
      <c r="X198" s="19"/>
      <c r="Y198" s="19"/>
      <c r="Z198" s="19"/>
      <c r="AA198" s="19"/>
      <c r="AB198" s="19" t="e">
        <f>AC198+AD198+AE198+AF198</f>
        <v>#REF!</v>
      </c>
      <c r="AC198" s="19">
        <f>AC196+AC197</f>
        <v>34212.46496</v>
      </c>
      <c r="AD198" s="19" t="e">
        <f>AD196+AD197</f>
        <v>#REF!</v>
      </c>
      <c r="AE198" s="19" t="e">
        <f>AE196+AE197</f>
        <v>#REF!</v>
      </c>
      <c r="AF198" s="19" t="e">
        <f>AF196+AF197</f>
        <v>#REF!</v>
      </c>
      <c r="AG198" s="19" t="e">
        <f>AH198+AI198+AJ198+AK198</f>
        <v>#REF!</v>
      </c>
      <c r="AH198" s="19" t="e">
        <f>AH196+AH197</f>
        <v>#REF!</v>
      </c>
      <c r="AI198" s="19" t="e">
        <f>AI196+AI197</f>
        <v>#REF!</v>
      </c>
      <c r="AJ198" s="19" t="e">
        <f>AJ196+AJ197</f>
        <v>#REF!</v>
      </c>
      <c r="AK198" s="19" t="e">
        <f>AK196+AK197</f>
        <v>#REF!</v>
      </c>
    </row>
    <row r="199" spans="1:37" s="28" customFormat="1" ht="20.25" customHeight="1" hidden="1">
      <c r="A199" s="31"/>
      <c r="B199" s="32" t="s">
        <v>212</v>
      </c>
      <c r="C199" s="32"/>
      <c r="D199" s="32"/>
      <c r="E199" s="32"/>
      <c r="F199" s="32"/>
      <c r="G199" s="32"/>
      <c r="H199" s="66"/>
      <c r="I199" s="67"/>
      <c r="J199" s="67"/>
      <c r="K199" s="67"/>
      <c r="L199" s="68"/>
      <c r="M199" s="67"/>
      <c r="N199" s="67"/>
      <c r="O199" s="67"/>
      <c r="P199" s="67"/>
      <c r="Q199" s="67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</row>
    <row r="200" spans="1:37" s="28" customFormat="1" ht="20.25" customHeight="1" hidden="1">
      <c r="A200" s="31"/>
      <c r="B200" s="32" t="s">
        <v>213</v>
      </c>
      <c r="C200" s="32"/>
      <c r="D200" s="32"/>
      <c r="E200" s="32"/>
      <c r="F200" s="32"/>
      <c r="G200" s="32"/>
      <c r="H200" s="66"/>
      <c r="I200" s="67"/>
      <c r="J200" s="67"/>
      <c r="K200" s="67"/>
      <c r="L200" s="68"/>
      <c r="M200" s="67"/>
      <c r="N200" s="67"/>
      <c r="O200" s="67"/>
      <c r="P200" s="67"/>
      <c r="Q200" s="67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</row>
    <row r="201" spans="1:37" s="28" customFormat="1" ht="20.25" customHeight="1" hidden="1">
      <c r="A201" s="31"/>
      <c r="B201" s="32" t="s">
        <v>214</v>
      </c>
      <c r="C201" s="32"/>
      <c r="D201" s="32"/>
      <c r="E201" s="32"/>
      <c r="F201" s="32"/>
      <c r="G201" s="32"/>
      <c r="H201" s="66"/>
      <c r="I201" s="67"/>
      <c r="J201" s="67"/>
      <c r="K201" s="67"/>
      <c r="L201" s="68"/>
      <c r="M201" s="67"/>
      <c r="N201" s="67"/>
      <c r="O201" s="67"/>
      <c r="P201" s="67"/>
      <c r="Q201" s="67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</row>
    <row r="202" spans="1:37" s="28" customFormat="1" ht="20.25" customHeight="1" hidden="1">
      <c r="A202" s="31"/>
      <c r="B202" s="33"/>
      <c r="C202" s="33"/>
      <c r="D202" s="33"/>
      <c r="E202" s="33"/>
      <c r="F202" s="33"/>
      <c r="G202" s="33"/>
      <c r="H202" s="29" t="e">
        <f>SUM(H198/#REF!)</f>
        <v>#REF!</v>
      </c>
      <c r="I202" s="30" t="e">
        <f>SUM(I198/#REF!)</f>
        <v>#REF!</v>
      </c>
      <c r="J202" s="67"/>
      <c r="K202" s="67"/>
      <c r="L202" s="68"/>
      <c r="M202" s="67"/>
      <c r="N202" s="67"/>
      <c r="O202" s="67"/>
      <c r="P202" s="67"/>
      <c r="Q202" s="67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</row>
    <row r="203" spans="1:37" s="28" customFormat="1" ht="18" customHeight="1" hidden="1">
      <c r="A203" s="31"/>
      <c r="B203" s="34" t="s">
        <v>215</v>
      </c>
      <c r="C203" s="142"/>
      <c r="D203" s="142"/>
      <c r="E203" s="142"/>
      <c r="F203" s="142"/>
      <c r="G203" s="142"/>
      <c r="H203" s="63" t="e">
        <f>I203+J203+K203+L203</f>
        <v>#REF!</v>
      </c>
      <c r="I203" s="64" t="e">
        <f>#REF!</f>
        <v>#REF!</v>
      </c>
      <c r="J203" s="64" t="e">
        <f>#REF!</f>
        <v>#REF!</v>
      </c>
      <c r="K203" s="64" t="e">
        <f>#REF!</f>
        <v>#REF!</v>
      </c>
      <c r="L203" s="65" t="e">
        <f>#REF!</f>
        <v>#REF!</v>
      </c>
      <c r="M203" s="130"/>
      <c r="N203" s="130"/>
      <c r="O203" s="130"/>
      <c r="P203" s="130"/>
      <c r="Q203" s="130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</row>
    <row r="204" spans="1:37" s="28" customFormat="1" ht="29.25" customHeight="1" hidden="1">
      <c r="A204" s="31"/>
      <c r="B204" s="33"/>
      <c r="C204" s="33"/>
      <c r="D204" s="33"/>
      <c r="E204" s="33"/>
      <c r="F204" s="33"/>
      <c r="G204" s="33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2"/>
      <c r="S204" s="62"/>
      <c r="T204" s="62"/>
      <c r="U204" s="62"/>
      <c r="V204" s="62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80" t="e">
        <f>AH204+AI204+AJ204+AK204</f>
        <v>#REF!</v>
      </c>
      <c r="AH204" s="80" t="e">
        <f>I198-#REF!+AH198</f>
        <v>#REF!</v>
      </c>
      <c r="AI204" s="80" t="e">
        <f>AI198</f>
        <v>#REF!</v>
      </c>
      <c r="AJ204" s="80" t="e">
        <f>AJ198</f>
        <v>#REF!</v>
      </c>
      <c r="AK204" s="80" t="e">
        <f>AK198</f>
        <v>#REF!</v>
      </c>
    </row>
    <row r="205" spans="1:37" s="28" customFormat="1" ht="20.25" customHeight="1" hidden="1">
      <c r="A205" s="31"/>
      <c r="B205" s="33"/>
      <c r="C205" s="33"/>
      <c r="D205" s="33"/>
      <c r="E205" s="33"/>
      <c r="F205" s="33"/>
      <c r="G205" s="33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30" t="e">
        <f>SUM(AG204/H198)</f>
        <v>#REF!</v>
      </c>
      <c r="AH205" s="30" t="e">
        <f>SUM(AH204/I198)</f>
        <v>#REF!</v>
      </c>
      <c r="AI205" s="30" t="e">
        <f>SUM(AI204/J198)</f>
        <v>#REF!</v>
      </c>
      <c r="AJ205" s="30" t="e">
        <f>SUM(AJ204/K198)</f>
        <v>#REF!</v>
      </c>
      <c r="AK205" s="30" t="e">
        <f>SUM(AK204/L198)</f>
        <v>#REF!</v>
      </c>
    </row>
    <row r="206" spans="1:37" s="28" customFormat="1" ht="20.25" customHeight="1">
      <c r="A206" s="31"/>
      <c r="B206" s="84" t="s">
        <v>216</v>
      </c>
      <c r="C206" s="84"/>
      <c r="D206" s="84"/>
      <c r="E206" s="84"/>
      <c r="F206" s="84"/>
      <c r="G206" s="84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83"/>
      <c r="AH206" s="83"/>
      <c r="AI206" s="83"/>
      <c r="AJ206" s="83"/>
      <c r="AK206" s="83"/>
    </row>
    <row r="207" spans="1:37" s="28" customFormat="1" ht="20.25" customHeight="1">
      <c r="A207" s="31"/>
      <c r="B207" s="33"/>
      <c r="C207" s="33"/>
      <c r="D207" s="33"/>
      <c r="E207" s="33"/>
      <c r="F207" s="33"/>
      <c r="G207" s="33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83"/>
      <c r="AH207" s="83"/>
      <c r="AI207" s="83"/>
      <c r="AJ207" s="83"/>
      <c r="AK207" s="83"/>
    </row>
    <row r="208" spans="1:37" s="28" customFormat="1" ht="20.25" customHeight="1">
      <c r="A208" s="31"/>
      <c r="B208" s="23" t="s">
        <v>40</v>
      </c>
      <c r="C208" s="23"/>
      <c r="D208" s="23"/>
      <c r="E208" s="23"/>
      <c r="F208" s="23"/>
      <c r="G208" s="23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83"/>
      <c r="AH208" s="83"/>
      <c r="AI208" s="83"/>
      <c r="AJ208" s="83"/>
      <c r="AK208" s="83"/>
    </row>
    <row r="209" spans="1:37" s="28" customFormat="1" ht="20.25" customHeight="1">
      <c r="A209" s="31"/>
      <c r="B209" s="33"/>
      <c r="C209" s="33"/>
      <c r="D209" s="33"/>
      <c r="E209" s="33"/>
      <c r="F209" s="33"/>
      <c r="G209" s="33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83"/>
      <c r="AH209" s="83"/>
      <c r="AI209" s="83"/>
      <c r="AJ209" s="83"/>
      <c r="AK209" s="83"/>
    </row>
    <row r="210" spans="1:26" s="91" customFormat="1" ht="16.5" customHeight="1">
      <c r="A210" s="87"/>
      <c r="B210" s="88"/>
      <c r="C210" s="88"/>
      <c r="D210" s="88"/>
      <c r="E210" s="88"/>
      <c r="F210" s="88"/>
      <c r="G210" s="88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90"/>
      <c r="Y210" s="89"/>
      <c r="Z210" s="89"/>
    </row>
    <row r="211" spans="1:26" s="92" customFormat="1" ht="24" customHeight="1">
      <c r="A211" s="374"/>
      <c r="B211" s="374"/>
      <c r="C211" s="374"/>
      <c r="D211" s="374"/>
      <c r="E211" s="374"/>
      <c r="F211" s="374"/>
      <c r="G211" s="374"/>
      <c r="H211" s="374"/>
      <c r="I211" s="374"/>
      <c r="J211" s="374"/>
      <c r="K211" s="374"/>
      <c r="L211" s="374"/>
      <c r="M211" s="374"/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  <c r="X211" s="374"/>
      <c r="Y211" s="374"/>
      <c r="Z211" s="374"/>
    </row>
    <row r="212" spans="1:26" s="92" customFormat="1" ht="18" customHeight="1">
      <c r="A212" s="93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370"/>
      <c r="Y212" s="370"/>
      <c r="Z212" s="370"/>
    </row>
    <row r="213" spans="1:26" s="92" customFormat="1" ht="47.25" customHeight="1">
      <c r="A213" s="371"/>
      <c r="B213" s="124"/>
      <c r="C213" s="124"/>
      <c r="D213" s="124"/>
      <c r="E213" s="124"/>
      <c r="F213" s="124"/>
      <c r="G213" s="124"/>
      <c r="H213" s="369"/>
      <c r="I213" s="369"/>
      <c r="J213" s="369"/>
      <c r="K213" s="369"/>
      <c r="L213" s="124"/>
      <c r="M213" s="124"/>
      <c r="N213" s="124"/>
      <c r="O213" s="124"/>
      <c r="P213" s="124"/>
      <c r="Q213" s="124"/>
      <c r="R213" s="369"/>
      <c r="S213" s="369"/>
      <c r="T213" s="369"/>
      <c r="U213" s="369"/>
      <c r="V213" s="369"/>
      <c r="W213" s="369"/>
      <c r="X213" s="369"/>
      <c r="Y213" s="369"/>
      <c r="Z213" s="369"/>
    </row>
    <row r="214" spans="1:26" s="92" customFormat="1" ht="59.25" customHeight="1">
      <c r="A214" s="371"/>
      <c r="B214" s="95"/>
      <c r="C214" s="95"/>
      <c r="D214" s="95"/>
      <c r="E214" s="95"/>
      <c r="F214" s="95"/>
      <c r="G214" s="95"/>
      <c r="H214" s="96"/>
      <c r="I214" s="96"/>
      <c r="J214" s="96"/>
      <c r="K214" s="96"/>
      <c r="L214" s="97"/>
      <c r="M214" s="97"/>
      <c r="N214" s="97"/>
      <c r="O214" s="97"/>
      <c r="P214" s="97"/>
      <c r="Q214" s="97"/>
      <c r="R214" s="96"/>
      <c r="S214" s="96"/>
      <c r="T214" s="96"/>
      <c r="U214" s="96"/>
      <c r="V214" s="97"/>
      <c r="W214" s="96"/>
      <c r="X214" s="96"/>
      <c r="Y214" s="96"/>
      <c r="Z214" s="96"/>
    </row>
    <row r="215" spans="1:26" s="101" customFormat="1" ht="17.25" customHeight="1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100"/>
      <c r="S215" s="100"/>
      <c r="T215" s="100"/>
      <c r="U215" s="100"/>
      <c r="V215" s="99"/>
      <c r="W215" s="100"/>
      <c r="X215" s="100"/>
      <c r="Y215" s="99"/>
      <c r="Z215" s="100"/>
    </row>
    <row r="216" spans="1:27" s="91" customFormat="1" ht="13.5" customHeight="1">
      <c r="A216" s="103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5"/>
    </row>
    <row r="217" spans="1:26" s="91" customFormat="1" ht="15.75" customHeight="1">
      <c r="A217" s="106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7" s="91" customFormat="1" ht="13.5" customHeight="1">
      <c r="A218" s="103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5"/>
    </row>
    <row r="219" spans="1:26" s="91" customFormat="1" ht="15.75" customHeight="1">
      <c r="A219" s="102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s="91" customFormat="1" ht="15.75" customHeight="1">
      <c r="A220" s="102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7" s="91" customFormat="1" ht="15" customHeight="1">
      <c r="A221" s="103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5"/>
    </row>
    <row r="222" spans="1:26" s="91" customFormat="1" ht="15" customHeight="1">
      <c r="A222" s="107"/>
      <c r="B222" s="86"/>
      <c r="C222" s="86"/>
      <c r="D222" s="86"/>
      <c r="E222" s="86"/>
      <c r="F222" s="86"/>
      <c r="G222" s="86"/>
      <c r="H222" s="104"/>
      <c r="I222" s="104"/>
      <c r="J222" s="104"/>
      <c r="K222" s="104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s="91" customFormat="1" ht="15" customHeight="1">
      <c r="A223" s="102"/>
      <c r="B223" s="98"/>
      <c r="C223" s="98"/>
      <c r="D223" s="98"/>
      <c r="E223" s="98"/>
      <c r="F223" s="98"/>
      <c r="G223" s="98"/>
      <c r="H223" s="98"/>
      <c r="I223" s="86"/>
      <c r="J223" s="86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s="91" customFormat="1" ht="15.75" customHeight="1">
      <c r="A224" s="102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s="91" customFormat="1" ht="15.75" customHeight="1">
      <c r="A225" s="102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s="91" customFormat="1" ht="15.75" customHeight="1">
      <c r="A226" s="102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s="91" customFormat="1" ht="15.75" customHeight="1">
      <c r="A227" s="102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s="91" customFormat="1" ht="15.75" customHeight="1">
      <c r="A228" s="102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s="91" customFormat="1" ht="15.75" customHeight="1">
      <c r="A229" s="102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s="91" customFormat="1" ht="15.75" customHeight="1">
      <c r="A230" s="102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s="91" customFormat="1" ht="16.5" customHeight="1">
      <c r="A231" s="102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s="91" customFormat="1" ht="15.75" customHeight="1">
      <c r="A232" s="102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s="91" customFormat="1" ht="15.75" customHeight="1">
      <c r="A233" s="102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s="91" customFormat="1" ht="15.75" customHeight="1">
      <c r="A234" s="102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s="91" customFormat="1" ht="15.75" customHeight="1">
      <c r="A235" s="102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s="91" customFormat="1" ht="15.75" customHeight="1">
      <c r="A236" s="102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s="91" customFormat="1" ht="15.75" customHeight="1">
      <c r="A237" s="102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s="91" customFormat="1" ht="15.75" customHeight="1">
      <c r="A238" s="102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7" s="91" customFormat="1" ht="15.75" customHeight="1">
      <c r="A239" s="103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5"/>
    </row>
    <row r="240" spans="1:26" s="109" customFormat="1" ht="15.75" customHeight="1">
      <c r="A240" s="10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s="91" customFormat="1" ht="15.75" customHeight="1">
      <c r="A241" s="102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s="91" customFormat="1" ht="15.75" customHeight="1">
      <c r="A242" s="102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s="91" customFormat="1" ht="15.75" customHeight="1">
      <c r="A243" s="102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s="91" customFormat="1" ht="15.75" customHeight="1">
      <c r="A244" s="102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s="91" customFormat="1" ht="15.75" customHeight="1">
      <c r="A245" s="102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s="91" customFormat="1" ht="18" customHeight="1">
      <c r="A246" s="102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s="91" customFormat="1" ht="15.75" customHeight="1">
      <c r="A247" s="102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s="91" customFormat="1" ht="15.75" customHeight="1">
      <c r="A248" s="102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s="91" customFormat="1" ht="15.75" customHeight="1">
      <c r="A249" s="102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s="91" customFormat="1" ht="15.75" customHeight="1">
      <c r="A250" s="102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s="91" customFormat="1" ht="15.75" customHeight="1">
      <c r="A251" s="102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s="91" customFormat="1" ht="15.75" customHeight="1">
      <c r="A252" s="102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s="91" customFormat="1" ht="15.75" customHeight="1">
      <c r="A253" s="106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7" s="91" customFormat="1" ht="18" customHeight="1">
      <c r="A254" s="103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5"/>
    </row>
    <row r="255" spans="1:26" s="91" customFormat="1" ht="15.75" customHeight="1">
      <c r="A255" s="102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s="91" customFormat="1" ht="15.75" customHeight="1">
      <c r="A256" s="102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s="91" customFormat="1" ht="15.75" customHeight="1">
      <c r="A257" s="102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s="91" customFormat="1" ht="15.75" customHeight="1">
      <c r="A258" s="102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s="91" customFormat="1" ht="15.75" customHeight="1">
      <c r="A259" s="102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s="91" customFormat="1" ht="15.75" customHeight="1">
      <c r="A260" s="102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s="91" customFormat="1" ht="15.75" customHeight="1">
      <c r="A261" s="102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s="91" customFormat="1" ht="15.75" customHeight="1">
      <c r="A262" s="102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s="91" customFormat="1" ht="15.75" customHeight="1">
      <c r="A263" s="102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s="91" customFormat="1" ht="15.75" customHeight="1">
      <c r="A264" s="102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s="91" customFormat="1" ht="15.75" customHeight="1">
      <c r="A265" s="102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7" s="91" customFormat="1" ht="15.75" customHeight="1">
      <c r="A266" s="103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5"/>
    </row>
    <row r="267" spans="1:26" s="91" customFormat="1" ht="15.75" customHeight="1">
      <c r="A267" s="102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s="91" customFormat="1" ht="15.75" customHeight="1">
      <c r="A268" s="102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s="91" customFormat="1" ht="15.75" customHeight="1">
      <c r="A269" s="102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s="91" customFormat="1" ht="15.75" customHeight="1">
      <c r="A270" s="102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s="91" customFormat="1" ht="15.75" customHeight="1">
      <c r="A271" s="102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s="91" customFormat="1" ht="15.75" customHeight="1">
      <c r="A272" s="102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s="91" customFormat="1" ht="15.75" customHeight="1">
      <c r="A273" s="102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s="91" customFormat="1" ht="15.75" customHeight="1">
      <c r="A274" s="102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s="91" customFormat="1" ht="15.75" customHeight="1">
      <c r="A275" s="102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s="91" customFormat="1" ht="15.75" customHeight="1">
      <c r="A276" s="102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s="91" customFormat="1" ht="15.75" customHeight="1">
      <c r="A277" s="102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s="91" customFormat="1" ht="15.75" customHeight="1">
      <c r="A278" s="102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7" s="91" customFormat="1" ht="15.75" customHeight="1">
      <c r="A279" s="103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5"/>
    </row>
    <row r="280" spans="1:26" s="109" customFormat="1" ht="15.75" customHeight="1">
      <c r="A280" s="110"/>
      <c r="B280" s="98"/>
      <c r="C280" s="98"/>
      <c r="D280" s="98"/>
      <c r="E280" s="98"/>
      <c r="F280" s="98"/>
      <c r="G280" s="98"/>
      <c r="H280" s="98"/>
      <c r="I280" s="111"/>
      <c r="J280" s="111"/>
      <c r="K280" s="111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s="91" customFormat="1" ht="15.75" customHeight="1">
      <c r="A281" s="102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s="91" customFormat="1" ht="15.75" customHeight="1">
      <c r="A282" s="102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s="91" customFormat="1" ht="15.75" customHeight="1">
      <c r="A283" s="102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s="91" customFormat="1" ht="15.75" customHeight="1">
      <c r="A284" s="102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s="91" customFormat="1" ht="15.75" customHeight="1">
      <c r="A285" s="102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s="91" customFormat="1" ht="15.75" customHeight="1">
      <c r="A286" s="102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s="91" customFormat="1" ht="15.75" customHeight="1">
      <c r="A287" s="102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s="91" customFormat="1" ht="15.75" customHeight="1">
      <c r="A288" s="102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s="91" customFormat="1" ht="15.75" customHeight="1">
      <c r="A289" s="102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s="91" customFormat="1" ht="15.75" customHeight="1">
      <c r="A290" s="102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s="91" customFormat="1" ht="15.75" customHeight="1">
      <c r="A291" s="102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s="91" customFormat="1" ht="15.75" customHeight="1">
      <c r="A292" s="102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s="91" customFormat="1" ht="15.75" customHeight="1">
      <c r="A293" s="102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s="91" customFormat="1" ht="15.75" customHeight="1">
      <c r="A294" s="102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s="91" customFormat="1" ht="15.75" customHeight="1">
      <c r="A295" s="102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7" s="91" customFormat="1" ht="15.75" customHeight="1">
      <c r="A296" s="103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5"/>
    </row>
    <row r="297" spans="1:26" s="91" customFormat="1" ht="15.75" customHeight="1">
      <c r="A297" s="107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s="91" customFormat="1" ht="15.75" customHeight="1">
      <c r="A298" s="106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s="91" customFormat="1" ht="13.5" customHeight="1">
      <c r="A299" s="102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s="91" customFormat="1" ht="13.5" customHeight="1">
      <c r="A300" s="102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7" s="91" customFormat="1" ht="15.75" customHeight="1">
      <c r="A301" s="103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5"/>
    </row>
    <row r="302" spans="1:26" s="91" customFormat="1" ht="15.75" customHeight="1">
      <c r="A302" s="107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s="91" customFormat="1" ht="15.75" customHeight="1">
      <c r="A303" s="106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s="91" customFormat="1" ht="15.75" customHeight="1">
      <c r="A304" s="102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s="91" customFormat="1" ht="15.75" customHeight="1">
      <c r="A305" s="102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7" s="91" customFormat="1" ht="15.75" customHeight="1">
      <c r="A306" s="103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5"/>
    </row>
    <row r="307" spans="1:26" s="109" customFormat="1" ht="17.25" customHeight="1">
      <c r="A307" s="112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s="91" customFormat="1" ht="15.75" customHeight="1">
      <c r="A308" s="106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s="91" customFormat="1" ht="15.75" customHeight="1">
      <c r="A309" s="102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s="91" customFormat="1" ht="15.75" customHeight="1">
      <c r="A310" s="102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s="91" customFormat="1" ht="15.75" customHeight="1">
      <c r="A311" s="102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s="91" customFormat="1" ht="15.75" customHeight="1">
      <c r="A312" s="102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s="91" customFormat="1" ht="15.75" customHeight="1">
      <c r="A313" s="102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s="91" customFormat="1" ht="15.75" customHeight="1">
      <c r="A314" s="102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s="91" customFormat="1" ht="15.75" customHeight="1">
      <c r="A315" s="102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s="91" customFormat="1" ht="15.75" customHeight="1">
      <c r="A316" s="102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7" s="91" customFormat="1" ht="15.75" customHeight="1">
      <c r="A317" s="103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5"/>
    </row>
    <row r="318" spans="1:26" s="91" customFormat="1" ht="15.75" customHeight="1">
      <c r="A318" s="112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s="91" customFormat="1" ht="15.75" customHeight="1">
      <c r="A319" s="102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s="91" customFormat="1" ht="15.75" customHeight="1">
      <c r="A320" s="102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s="91" customFormat="1" ht="15.75" customHeight="1">
      <c r="A321" s="102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s="91" customFormat="1" ht="15.75" customHeight="1">
      <c r="A322" s="102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s="91" customFormat="1" ht="15.75" customHeight="1">
      <c r="A323" s="102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7" s="91" customFormat="1" ht="15.75" customHeight="1">
      <c r="A324" s="103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5"/>
    </row>
    <row r="325" spans="1:26" s="91" customFormat="1" ht="15.75" customHeight="1">
      <c r="A325" s="102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s="91" customFormat="1" ht="15.75" customHeight="1">
      <c r="A326" s="102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s="91" customFormat="1" ht="15.75" customHeight="1">
      <c r="A327" s="102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s="91" customFormat="1" ht="15" customHeight="1">
      <c r="A328" s="102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s="91" customFormat="1" ht="15.75" customHeight="1">
      <c r="A329" s="102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s="91" customFormat="1" ht="15.75" customHeight="1">
      <c r="A330" s="102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s="91" customFormat="1" ht="15.75" customHeight="1">
      <c r="A331" s="102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s="91" customFormat="1" ht="15.75" customHeight="1">
      <c r="A332" s="102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s="91" customFormat="1" ht="15.75" customHeight="1">
      <c r="A333" s="102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s="91" customFormat="1" ht="15.75" customHeight="1">
      <c r="A334" s="102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s="91" customFormat="1" ht="15.75" customHeight="1">
      <c r="A335" s="102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s="91" customFormat="1" ht="15.75" customHeight="1">
      <c r="A336" s="102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s="91" customFormat="1" ht="15.75" customHeight="1">
      <c r="A337" s="102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s="91" customFormat="1" ht="15.75" customHeight="1">
      <c r="A338" s="102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s="91" customFormat="1" ht="15.75" customHeight="1">
      <c r="A339" s="102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7" s="91" customFormat="1" ht="15.75" customHeight="1">
      <c r="A340" s="103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5"/>
    </row>
    <row r="341" spans="1:26" s="91" customFormat="1" ht="15.75" customHeight="1">
      <c r="A341" s="102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s="91" customFormat="1" ht="15.75" customHeight="1">
      <c r="A342" s="102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s="91" customFormat="1" ht="15.75" customHeight="1">
      <c r="A343" s="102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s="91" customFormat="1" ht="15.75" customHeight="1">
      <c r="A344" s="102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s="91" customFormat="1" ht="15.75" customHeight="1">
      <c r="A345" s="102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s="91" customFormat="1" ht="15.75" customHeight="1">
      <c r="A346" s="102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s="91" customFormat="1" ht="15.75" customHeight="1">
      <c r="A347" s="102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s="91" customFormat="1" ht="15.75" customHeight="1">
      <c r="A348" s="102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s="91" customFormat="1" ht="15.75" customHeight="1">
      <c r="A349" s="102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s="91" customFormat="1" ht="15.75" customHeight="1">
      <c r="A350" s="102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s="91" customFormat="1" ht="15.75" customHeight="1">
      <c r="A351" s="102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s="91" customFormat="1" ht="15.75" customHeight="1">
      <c r="A352" s="102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s="91" customFormat="1" ht="15.75" customHeight="1">
      <c r="A353" s="102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s="91" customFormat="1" ht="15.75" customHeight="1">
      <c r="A354" s="102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7" s="91" customFormat="1" ht="15.75" customHeight="1">
      <c r="A355" s="103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5"/>
    </row>
    <row r="356" spans="1:26" s="91" customFormat="1" ht="15.75" customHeight="1">
      <c r="A356" s="102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7" s="91" customFormat="1" ht="15.75" customHeight="1">
      <c r="A357" s="103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5"/>
    </row>
    <row r="358" spans="1:26" s="91" customFormat="1" ht="15.75" customHeight="1">
      <c r="A358" s="102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s="91" customFormat="1" ht="15.75" customHeight="1">
      <c r="A359" s="106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s="91" customFormat="1" ht="15.75" customHeight="1">
      <c r="A360" s="102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s="91" customFormat="1" ht="15.75" customHeight="1">
      <c r="A361" s="102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s="91" customFormat="1" ht="15.75" customHeight="1">
      <c r="A362" s="102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s="91" customFormat="1" ht="15.75" customHeight="1">
      <c r="A363" s="102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s="91" customFormat="1" ht="15.75" customHeight="1">
      <c r="A364" s="102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s="91" customFormat="1" ht="15.75" customHeight="1">
      <c r="A365" s="102"/>
      <c r="B365" s="113"/>
      <c r="C365" s="113"/>
      <c r="D365" s="113"/>
      <c r="E365" s="113"/>
      <c r="F365" s="113"/>
      <c r="G365" s="113"/>
      <c r="H365" s="114"/>
      <c r="I365" s="86"/>
      <c r="J365" s="114"/>
      <c r="K365" s="86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s="91" customFormat="1" ht="15.75" customHeight="1">
      <c r="A366" s="102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s="91" customFormat="1" ht="15.75" customHeight="1">
      <c r="A367" s="102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s="91" customFormat="1" ht="15.75" customHeight="1">
      <c r="A368" s="102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s="91" customFormat="1" ht="15.75" customHeight="1">
      <c r="A369" s="102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s="91" customFormat="1" ht="15.75" customHeight="1">
      <c r="A370" s="102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7" s="91" customFormat="1" ht="15.75" customHeight="1">
      <c r="A371" s="103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5"/>
    </row>
    <row r="372" spans="1:26" s="91" customFormat="1" ht="15.75" customHeight="1">
      <c r="A372" s="102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s="91" customFormat="1" ht="15.75" customHeight="1">
      <c r="A373" s="102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s="91" customFormat="1" ht="15.75" customHeight="1">
      <c r="A374" s="102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s="91" customFormat="1" ht="15.75" customHeight="1">
      <c r="A375" s="102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s="91" customFormat="1" ht="15" customHeight="1">
      <c r="A376" s="102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s="91" customFormat="1" ht="15.75" customHeight="1">
      <c r="A377" s="102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s="91" customFormat="1" ht="15.75" customHeight="1">
      <c r="A378" s="106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s="91" customFormat="1" ht="15.75" customHeight="1">
      <c r="A379" s="103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s="91" customFormat="1" ht="15.75" customHeight="1">
      <c r="A380" s="102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s="91" customFormat="1" ht="15.75" customHeight="1">
      <c r="A381" s="102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s="91" customFormat="1" ht="15.75" customHeight="1">
      <c r="A382" s="102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s="91" customFormat="1" ht="15.75" customHeight="1">
      <c r="A383" s="102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s="91" customFormat="1" ht="15.75" customHeight="1">
      <c r="A384" s="102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s="91" customFormat="1" ht="15.75" customHeight="1">
      <c r="A385" s="102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s="91" customFormat="1" ht="15.75" customHeight="1">
      <c r="A386" s="106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s="91" customFormat="1" ht="15.75" customHeight="1">
      <c r="A387" s="106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s="91" customFormat="1" ht="15.75" customHeight="1">
      <c r="A388" s="103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s="91" customFormat="1" ht="15.75" customHeight="1">
      <c r="A389" s="102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s="91" customFormat="1" ht="15.75" customHeight="1">
      <c r="A390" s="102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s="91" customFormat="1" ht="15.75" customHeight="1">
      <c r="A391" s="102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s="91" customFormat="1" ht="15.75" customHeight="1">
      <c r="A392" s="102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s="91" customFormat="1" ht="15.75" customHeight="1">
      <c r="A393" s="102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s="91" customFormat="1" ht="15.75" customHeight="1">
      <c r="A394" s="102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s="91" customFormat="1" ht="15.75" customHeight="1">
      <c r="A395" s="102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s="91" customFormat="1" ht="15.75" customHeight="1">
      <c r="A396" s="102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s="91" customFormat="1" ht="15.75" customHeight="1">
      <c r="A397" s="102"/>
      <c r="B397" s="98"/>
      <c r="C397" s="98"/>
      <c r="D397" s="98"/>
      <c r="E397" s="98"/>
      <c r="F397" s="98"/>
      <c r="G397" s="98"/>
      <c r="H397" s="98"/>
      <c r="I397" s="113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s="91" customFormat="1" ht="15.75" customHeight="1">
      <c r="A398" s="102"/>
      <c r="B398" s="98"/>
      <c r="C398" s="98"/>
      <c r="D398" s="98"/>
      <c r="E398" s="98"/>
      <c r="F398" s="98"/>
      <c r="G398" s="98"/>
      <c r="H398" s="98"/>
      <c r="I398" s="86"/>
      <c r="J398" s="114"/>
      <c r="K398" s="115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s="91" customFormat="1" ht="15.75" customHeight="1">
      <c r="A399" s="102"/>
      <c r="B399" s="98"/>
      <c r="C399" s="98"/>
      <c r="D399" s="98"/>
      <c r="E399" s="98"/>
      <c r="F399" s="98"/>
      <c r="G399" s="98"/>
      <c r="H399" s="98"/>
      <c r="I399" s="113"/>
      <c r="J399" s="114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s="91" customFormat="1" ht="15.75" customHeight="1">
      <c r="A400" s="116"/>
      <c r="B400" s="95"/>
      <c r="C400" s="95"/>
      <c r="D400" s="95"/>
      <c r="E400" s="95"/>
      <c r="F400" s="95"/>
      <c r="G400" s="9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7" ht="16.5" customHeight="1">
      <c r="A401" s="112"/>
      <c r="B401" s="95"/>
      <c r="C401" s="95"/>
      <c r="D401" s="95"/>
      <c r="E401" s="95"/>
      <c r="F401" s="95"/>
      <c r="G401" s="95"/>
    </row>
    <row r="402" spans="1:7" ht="15">
      <c r="A402" s="116"/>
      <c r="B402" s="95"/>
      <c r="C402" s="95"/>
      <c r="D402" s="95"/>
      <c r="E402" s="95"/>
      <c r="F402" s="95"/>
      <c r="G402" s="95"/>
    </row>
    <row r="403" spans="2:7" ht="50.25" customHeight="1">
      <c r="B403" s="119"/>
      <c r="C403" s="119"/>
      <c r="D403" s="119"/>
      <c r="E403" s="119"/>
      <c r="F403" s="119"/>
      <c r="G403" s="119"/>
    </row>
    <row r="404" spans="8:17" ht="20.25"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</row>
  </sheetData>
  <sheetProtection/>
  <mergeCells count="15">
    <mergeCell ref="R213:U213"/>
    <mergeCell ref="V213:Z213"/>
    <mergeCell ref="X212:Z212"/>
    <mergeCell ref="A213:A214"/>
    <mergeCell ref="H213:K213"/>
    <mergeCell ref="A195:B195"/>
    <mergeCell ref="A211:Z211"/>
    <mergeCell ref="A1:AK1"/>
    <mergeCell ref="A2:A3"/>
    <mergeCell ref="B2:B3"/>
    <mergeCell ref="H2:L2"/>
    <mergeCell ref="R2:V2"/>
    <mergeCell ref="W2:AA2"/>
    <mergeCell ref="AB2:AF2"/>
    <mergeCell ref="AG2:AK2"/>
  </mergeCells>
  <printOptions/>
  <pageMargins left="0.11811023622047245" right="0.11811023622047245" top="0.15748031496062992" bottom="0.11811023622047245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08"/>
  <sheetViews>
    <sheetView tabSelected="1" zoomScalePageLayoutView="0" workbookViewId="0" topLeftCell="A1">
      <pane xSplit="2" ySplit="4" topLeftCell="C18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BW2"/>
    </sheetView>
  </sheetViews>
  <sheetFormatPr defaultColWidth="9.125" defaultRowHeight="12.75"/>
  <cols>
    <col min="1" max="1" width="4.00390625" style="187" customWidth="1"/>
    <col min="2" max="2" width="20.125" style="189" customWidth="1"/>
    <col min="3" max="3" width="8.125" style="189" hidden="1" customWidth="1"/>
    <col min="4" max="7" width="9.50390625" style="189" customWidth="1"/>
    <col min="8" max="8" width="9.50390625" style="189" hidden="1" customWidth="1"/>
    <col min="9" max="12" width="9.50390625" style="189" customWidth="1"/>
    <col min="13" max="13" width="7.875" style="188" hidden="1" customWidth="1"/>
    <col min="14" max="16" width="7.875" style="220" hidden="1" customWidth="1"/>
    <col min="17" max="17" width="7.375" style="189" hidden="1" customWidth="1"/>
    <col min="18" max="22" width="7.625" style="189" hidden="1" customWidth="1"/>
    <col min="23" max="26" width="9.125" style="189" hidden="1" customWidth="1"/>
    <col min="27" max="27" width="13.125" style="190" hidden="1" customWidth="1"/>
    <col min="28" max="28" width="6.375" style="190" hidden="1" customWidth="1"/>
    <col min="29" max="30" width="10.50390625" style="190" hidden="1" customWidth="1"/>
    <col min="31" max="31" width="9.125" style="190" hidden="1" customWidth="1"/>
    <col min="32" max="37" width="9.125" style="189" hidden="1" customWidth="1"/>
    <col min="38" max="38" width="8.125" style="189" hidden="1" customWidth="1"/>
    <col min="39" max="39" width="6.625" style="189" hidden="1" customWidth="1"/>
    <col min="40" max="40" width="8.375" style="189" hidden="1" customWidth="1"/>
    <col min="41" max="41" width="8.125" style="189" hidden="1" customWidth="1"/>
    <col min="42" max="42" width="7.50390625" style="189" hidden="1" customWidth="1"/>
    <col min="43" max="43" width="8.875" style="189" hidden="1" customWidth="1"/>
    <col min="44" max="44" width="6.875" style="189" hidden="1" customWidth="1"/>
    <col min="45" max="46" width="7.875" style="189" hidden="1" customWidth="1"/>
    <col min="47" max="47" width="6.625" style="189" hidden="1" customWidth="1"/>
    <col min="48" max="48" width="8.00390625" style="189" hidden="1" customWidth="1"/>
    <col min="49" max="49" width="7.125" style="189" hidden="1" customWidth="1"/>
    <col min="50" max="50" width="7.625" style="189" hidden="1" customWidth="1"/>
    <col min="51" max="51" width="7.50390625" style="189" hidden="1" customWidth="1"/>
    <col min="52" max="52" width="7.375" style="189" hidden="1" customWidth="1"/>
    <col min="53" max="53" width="7.00390625" style="189" hidden="1" customWidth="1"/>
    <col min="54" max="54" width="6.50390625" style="189" hidden="1" customWidth="1"/>
    <col min="55" max="55" width="7.00390625" style="189" hidden="1" customWidth="1"/>
    <col min="56" max="56" width="6.375" style="189" hidden="1" customWidth="1"/>
    <col min="57" max="57" width="7.125" style="191" hidden="1" customWidth="1"/>
    <col min="58" max="58" width="6.875" style="189" hidden="1" customWidth="1"/>
    <col min="59" max="59" width="6.375" style="189" hidden="1" customWidth="1"/>
    <col min="60" max="60" width="7.125" style="189" hidden="1" customWidth="1"/>
    <col min="61" max="61" width="6.50390625" style="189" hidden="1" customWidth="1"/>
    <col min="62" max="62" width="7.00390625" style="191" hidden="1" customWidth="1"/>
    <col min="63" max="63" width="11.375" style="191" hidden="1" customWidth="1"/>
    <col min="64" max="64" width="9.125" style="191" hidden="1" customWidth="1"/>
    <col min="65" max="65" width="10.375" style="191" hidden="1" customWidth="1"/>
    <col min="66" max="66" width="10.125" style="191" hidden="1" customWidth="1"/>
    <col min="67" max="67" width="9.125" style="191" hidden="1" customWidth="1"/>
    <col min="68" max="68" width="7.50390625" style="308" hidden="1" customWidth="1"/>
    <col min="69" max="69" width="7.00390625" style="308" hidden="1" customWidth="1"/>
    <col min="70" max="70" width="7.625" style="308" hidden="1" customWidth="1"/>
    <col min="71" max="71" width="7.375" style="308" hidden="1" customWidth="1"/>
    <col min="72" max="72" width="6.625" style="308" hidden="1" customWidth="1"/>
    <col min="73" max="73" width="3.375" style="191" hidden="1" customWidth="1"/>
    <col min="74" max="74" width="3.125" style="308" hidden="1" customWidth="1"/>
    <col min="75" max="75" width="20.625" style="189" customWidth="1"/>
    <col min="76" max="76" width="2.50390625" style="191" customWidth="1"/>
    <col min="77" max="77" width="7.50390625" style="189" hidden="1" customWidth="1"/>
    <col min="78" max="78" width="5.50390625" style="189" hidden="1" customWidth="1"/>
    <col min="79" max="79" width="5.375" style="344" hidden="1" customWidth="1"/>
    <col min="80" max="81" width="7.50390625" style="189" hidden="1" customWidth="1"/>
    <col min="82" max="82" width="0" style="191" hidden="1" customWidth="1"/>
    <col min="83" max="16384" width="9.125" style="191" customWidth="1"/>
  </cols>
  <sheetData>
    <row r="1" spans="1:81" s="143" customFormat="1" ht="0.7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402"/>
      <c r="L1" s="4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11"/>
      <c r="BQ1" s="311"/>
      <c r="BR1" s="311"/>
      <c r="BS1" s="311"/>
      <c r="BT1" s="311"/>
      <c r="BV1" s="303"/>
      <c r="BW1" s="329"/>
      <c r="BY1" s="302"/>
      <c r="BZ1" s="302"/>
      <c r="CA1" s="311"/>
      <c r="CB1" s="302"/>
      <c r="CC1" s="302"/>
    </row>
    <row r="2" spans="1:79" s="143" customFormat="1" ht="47.25" customHeight="1" thickBot="1">
      <c r="A2" s="375" t="s">
        <v>304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CA2" s="303"/>
    </row>
    <row r="3" spans="1:79" s="143" customFormat="1" ht="35.25" customHeight="1">
      <c r="A3" s="395" t="s">
        <v>0</v>
      </c>
      <c r="B3" s="396" t="s">
        <v>1</v>
      </c>
      <c r="C3" s="393" t="s">
        <v>221</v>
      </c>
      <c r="D3" s="390" t="s">
        <v>226</v>
      </c>
      <c r="E3" s="391"/>
      <c r="F3" s="391"/>
      <c r="G3" s="392"/>
      <c r="H3" s="393" t="s">
        <v>221</v>
      </c>
      <c r="I3" s="390" t="s">
        <v>227</v>
      </c>
      <c r="J3" s="391"/>
      <c r="K3" s="391"/>
      <c r="L3" s="392"/>
      <c r="M3" s="383" t="s">
        <v>37</v>
      </c>
      <c r="N3" s="383"/>
      <c r="O3" s="383"/>
      <c r="P3" s="383"/>
      <c r="Q3" s="383"/>
      <c r="R3" s="383" t="s">
        <v>299</v>
      </c>
      <c r="S3" s="383"/>
      <c r="T3" s="383"/>
      <c r="U3" s="383"/>
      <c r="V3" s="383"/>
      <c r="W3" s="383" t="s">
        <v>28</v>
      </c>
      <c r="X3" s="383"/>
      <c r="Y3" s="383"/>
      <c r="Z3" s="383"/>
      <c r="AA3" s="383"/>
      <c r="AB3" s="383" t="s">
        <v>43</v>
      </c>
      <c r="AC3" s="383"/>
      <c r="AD3" s="383"/>
      <c r="AE3" s="384"/>
      <c r="AF3" s="383"/>
      <c r="AG3" s="383" t="s">
        <v>44</v>
      </c>
      <c r="AH3" s="383"/>
      <c r="AI3" s="383"/>
      <c r="AJ3" s="384"/>
      <c r="AK3" s="384"/>
      <c r="AL3" s="385" t="s">
        <v>30</v>
      </c>
      <c r="AM3" s="386"/>
      <c r="AN3" s="386"/>
      <c r="AO3" s="386"/>
      <c r="AP3" s="387"/>
      <c r="AQ3" s="382" t="s">
        <v>282</v>
      </c>
      <c r="AR3" s="383"/>
      <c r="AS3" s="383"/>
      <c r="AT3" s="384"/>
      <c r="AU3" s="383"/>
      <c r="AV3" s="383" t="s">
        <v>39</v>
      </c>
      <c r="AW3" s="383"/>
      <c r="AX3" s="383"/>
      <c r="AY3" s="383"/>
      <c r="AZ3" s="383"/>
      <c r="BA3" s="382" t="s">
        <v>297</v>
      </c>
      <c r="BB3" s="383"/>
      <c r="BC3" s="383"/>
      <c r="BD3" s="384"/>
      <c r="BE3" s="383"/>
      <c r="BF3" s="385" t="s">
        <v>298</v>
      </c>
      <c r="BG3" s="386"/>
      <c r="BH3" s="386"/>
      <c r="BI3" s="386"/>
      <c r="BJ3" s="387"/>
      <c r="BK3" s="403" t="s">
        <v>45</v>
      </c>
      <c r="BL3" s="403"/>
      <c r="BM3" s="403"/>
      <c r="BN3" s="404"/>
      <c r="BO3" s="403"/>
      <c r="BP3" s="405" t="s">
        <v>218</v>
      </c>
      <c r="BQ3" s="405"/>
      <c r="BR3" s="405"/>
      <c r="BS3" s="406"/>
      <c r="BT3" s="405"/>
      <c r="BV3" s="303"/>
      <c r="BW3" s="400" t="s">
        <v>285</v>
      </c>
      <c r="CA3" s="303"/>
    </row>
    <row r="4" spans="1:81" s="143" customFormat="1" ht="96" customHeight="1">
      <c r="A4" s="395"/>
      <c r="B4" s="397"/>
      <c r="C4" s="394"/>
      <c r="D4" s="297" t="s">
        <v>222</v>
      </c>
      <c r="E4" s="297" t="s">
        <v>223</v>
      </c>
      <c r="F4" s="297" t="s">
        <v>225</v>
      </c>
      <c r="G4" s="297" t="s">
        <v>224</v>
      </c>
      <c r="H4" s="394"/>
      <c r="I4" s="297" t="s">
        <v>222</v>
      </c>
      <c r="J4" s="297" t="s">
        <v>223</v>
      </c>
      <c r="K4" s="297" t="s">
        <v>225</v>
      </c>
      <c r="L4" s="297" t="s">
        <v>224</v>
      </c>
      <c r="M4" s="255" t="s">
        <v>9</v>
      </c>
      <c r="N4" s="298" t="s">
        <v>35</v>
      </c>
      <c r="O4" s="298" t="s">
        <v>36</v>
      </c>
      <c r="P4" s="298" t="s">
        <v>34</v>
      </c>
      <c r="Q4" s="299" t="s">
        <v>33</v>
      </c>
      <c r="R4" s="234" t="s">
        <v>26</v>
      </c>
      <c r="S4" s="298" t="s">
        <v>35</v>
      </c>
      <c r="T4" s="298" t="s">
        <v>36</v>
      </c>
      <c r="U4" s="298" t="s">
        <v>34</v>
      </c>
      <c r="V4" s="300" t="s">
        <v>33</v>
      </c>
      <c r="W4" s="232" t="s">
        <v>27</v>
      </c>
      <c r="X4" s="298" t="s">
        <v>47</v>
      </c>
      <c r="Y4" s="298" t="s">
        <v>48</v>
      </c>
      <c r="Z4" s="298" t="s">
        <v>46</v>
      </c>
      <c r="AA4" s="299" t="s">
        <v>49</v>
      </c>
      <c r="AB4" s="237" t="s">
        <v>27</v>
      </c>
      <c r="AC4" s="298" t="s">
        <v>50</v>
      </c>
      <c r="AD4" s="298" t="s">
        <v>36</v>
      </c>
      <c r="AE4" s="298" t="s">
        <v>34</v>
      </c>
      <c r="AF4" s="298" t="s">
        <v>33</v>
      </c>
      <c r="AG4" s="237" t="s">
        <v>27</v>
      </c>
      <c r="AH4" s="298" t="s">
        <v>50</v>
      </c>
      <c r="AI4" s="298" t="s">
        <v>36</v>
      </c>
      <c r="AJ4" s="298" t="s">
        <v>34</v>
      </c>
      <c r="AK4" s="299" t="s">
        <v>33</v>
      </c>
      <c r="AL4" s="234" t="s">
        <v>27</v>
      </c>
      <c r="AM4" s="298" t="s">
        <v>50</v>
      </c>
      <c r="AN4" s="298" t="s">
        <v>36</v>
      </c>
      <c r="AO4" s="298" t="s">
        <v>34</v>
      </c>
      <c r="AP4" s="300" t="s">
        <v>33</v>
      </c>
      <c r="AQ4" s="232" t="s">
        <v>27</v>
      </c>
      <c r="AR4" s="298" t="s">
        <v>50</v>
      </c>
      <c r="AS4" s="298" t="s">
        <v>36</v>
      </c>
      <c r="AT4" s="298" t="s">
        <v>34</v>
      </c>
      <c r="AU4" s="298" t="s">
        <v>33</v>
      </c>
      <c r="AV4" s="237" t="s">
        <v>27</v>
      </c>
      <c r="AW4" s="298" t="s">
        <v>50</v>
      </c>
      <c r="AX4" s="298" t="s">
        <v>36</v>
      </c>
      <c r="AY4" s="298" t="s">
        <v>34</v>
      </c>
      <c r="AZ4" s="298" t="s">
        <v>33</v>
      </c>
      <c r="BA4" s="237" t="s">
        <v>27</v>
      </c>
      <c r="BB4" s="298" t="s">
        <v>50</v>
      </c>
      <c r="BC4" s="298" t="s">
        <v>36</v>
      </c>
      <c r="BD4" s="298" t="s">
        <v>34</v>
      </c>
      <c r="BE4" s="298" t="s">
        <v>33</v>
      </c>
      <c r="BF4" s="237" t="s">
        <v>27</v>
      </c>
      <c r="BG4" s="298" t="s">
        <v>50</v>
      </c>
      <c r="BH4" s="298" t="s">
        <v>36</v>
      </c>
      <c r="BI4" s="298" t="s">
        <v>34</v>
      </c>
      <c r="BJ4" s="298" t="s">
        <v>33</v>
      </c>
      <c r="BK4" s="145" t="s">
        <v>27</v>
      </c>
      <c r="BL4" s="144" t="s">
        <v>50</v>
      </c>
      <c r="BM4" s="144" t="s">
        <v>36</v>
      </c>
      <c r="BN4" s="144" t="s">
        <v>34</v>
      </c>
      <c r="BO4" s="144" t="s">
        <v>33</v>
      </c>
      <c r="BP4" s="312" t="s">
        <v>27</v>
      </c>
      <c r="BQ4" s="304" t="s">
        <v>50</v>
      </c>
      <c r="BR4" s="304" t="s">
        <v>36</v>
      </c>
      <c r="BS4" s="304" t="s">
        <v>34</v>
      </c>
      <c r="BT4" s="304" t="s">
        <v>33</v>
      </c>
      <c r="BU4" s="144" t="s">
        <v>228</v>
      </c>
      <c r="BV4" s="304" t="s">
        <v>229</v>
      </c>
      <c r="BW4" s="401"/>
      <c r="BY4" s="298" t="s">
        <v>230</v>
      </c>
      <c r="BZ4" s="298"/>
      <c r="CA4" s="342"/>
      <c r="CB4" s="298"/>
      <c r="CC4" s="298"/>
    </row>
    <row r="5" spans="1:81" s="143" customFormat="1" ht="13.5" customHeight="1">
      <c r="A5" s="146"/>
      <c r="B5" s="146">
        <v>2</v>
      </c>
      <c r="C5" s="146"/>
      <c r="D5" s="146">
        <v>3</v>
      </c>
      <c r="E5" s="146">
        <v>4</v>
      </c>
      <c r="F5" s="146">
        <v>5</v>
      </c>
      <c r="G5" s="146">
        <v>6</v>
      </c>
      <c r="H5" s="146"/>
      <c r="I5" s="146">
        <v>7</v>
      </c>
      <c r="J5" s="146">
        <v>8</v>
      </c>
      <c r="K5" s="146">
        <v>9</v>
      </c>
      <c r="L5" s="146">
        <v>10</v>
      </c>
      <c r="M5" s="146">
        <v>3</v>
      </c>
      <c r="N5" s="146">
        <v>4</v>
      </c>
      <c r="O5" s="146">
        <v>5</v>
      </c>
      <c r="P5" s="146">
        <v>6</v>
      </c>
      <c r="Q5" s="146">
        <v>7</v>
      </c>
      <c r="R5" s="146">
        <v>8</v>
      </c>
      <c r="S5" s="146">
        <v>9</v>
      </c>
      <c r="T5" s="146">
        <v>10</v>
      </c>
      <c r="U5" s="146">
        <v>11</v>
      </c>
      <c r="V5" s="146">
        <v>12</v>
      </c>
      <c r="W5" s="146">
        <v>13</v>
      </c>
      <c r="X5" s="146">
        <v>14</v>
      </c>
      <c r="Y5" s="146">
        <v>15</v>
      </c>
      <c r="Z5" s="146">
        <v>16</v>
      </c>
      <c r="AA5" s="146">
        <v>17</v>
      </c>
      <c r="AB5" s="146">
        <v>11</v>
      </c>
      <c r="AC5" s="146">
        <v>12</v>
      </c>
      <c r="AD5" s="146">
        <v>13</v>
      </c>
      <c r="AE5" s="146"/>
      <c r="AF5" s="146">
        <v>14</v>
      </c>
      <c r="AG5" s="146">
        <v>11</v>
      </c>
      <c r="AH5" s="146">
        <v>12</v>
      </c>
      <c r="AI5" s="146">
        <v>13</v>
      </c>
      <c r="AJ5" s="146"/>
      <c r="AK5" s="146">
        <v>14</v>
      </c>
      <c r="AL5" s="146">
        <v>13</v>
      </c>
      <c r="AM5" s="146">
        <v>14</v>
      </c>
      <c r="AN5" s="146">
        <v>15</v>
      </c>
      <c r="AO5" s="146">
        <v>16</v>
      </c>
      <c r="AP5" s="146">
        <v>17</v>
      </c>
      <c r="AQ5" s="146">
        <v>18</v>
      </c>
      <c r="AR5" s="146">
        <v>19</v>
      </c>
      <c r="AS5" s="146">
        <v>20</v>
      </c>
      <c r="AT5" s="146">
        <v>21</v>
      </c>
      <c r="AU5" s="146">
        <v>22</v>
      </c>
      <c r="AV5" s="146">
        <v>23</v>
      </c>
      <c r="AW5" s="146">
        <v>24</v>
      </c>
      <c r="AX5" s="146">
        <v>25</v>
      </c>
      <c r="AY5" s="146">
        <v>26</v>
      </c>
      <c r="AZ5" s="146">
        <v>27</v>
      </c>
      <c r="BA5" s="146">
        <v>28</v>
      </c>
      <c r="BB5" s="146">
        <v>29</v>
      </c>
      <c r="BC5" s="146">
        <v>30</v>
      </c>
      <c r="BD5" s="146">
        <v>31</v>
      </c>
      <c r="BE5" s="146">
        <v>32</v>
      </c>
      <c r="BF5" s="146">
        <v>33</v>
      </c>
      <c r="BG5" s="146">
        <v>34</v>
      </c>
      <c r="BH5" s="146">
        <v>35</v>
      </c>
      <c r="BI5" s="146">
        <v>36</v>
      </c>
      <c r="BJ5" s="146">
        <v>37</v>
      </c>
      <c r="BK5" s="146">
        <v>33</v>
      </c>
      <c r="BL5" s="146">
        <v>34</v>
      </c>
      <c r="BM5" s="146">
        <v>35</v>
      </c>
      <c r="BN5" s="146">
        <v>36</v>
      </c>
      <c r="BO5" s="146">
        <v>37</v>
      </c>
      <c r="BP5" s="313">
        <v>38</v>
      </c>
      <c r="BQ5" s="313">
        <v>39</v>
      </c>
      <c r="BR5" s="313">
        <v>40</v>
      </c>
      <c r="BS5" s="313">
        <v>41</v>
      </c>
      <c r="BT5" s="313">
        <v>42</v>
      </c>
      <c r="BV5" s="303"/>
      <c r="BW5" s="146">
        <v>38</v>
      </c>
      <c r="BY5" s="146">
        <v>27</v>
      </c>
      <c r="BZ5" s="146">
        <v>27</v>
      </c>
      <c r="CA5" s="313">
        <v>27</v>
      </c>
      <c r="CB5" s="146">
        <v>27</v>
      </c>
      <c r="CC5" s="146">
        <v>27</v>
      </c>
    </row>
    <row r="6" spans="1:81" s="229" customFormat="1" ht="21" customHeight="1">
      <c r="A6" s="221"/>
      <c r="B6" s="222" t="s">
        <v>10</v>
      </c>
      <c r="C6" s="223">
        <f>C7</f>
        <v>2172.257</v>
      </c>
      <c r="D6" s="224"/>
      <c r="E6" s="223">
        <f>E7</f>
        <v>2172.257</v>
      </c>
      <c r="F6" s="224"/>
      <c r="G6" s="224"/>
      <c r="H6" s="223">
        <f>H7</f>
        <v>3065.65171</v>
      </c>
      <c r="I6" s="224"/>
      <c r="J6" s="223">
        <f>J7</f>
        <v>2172.257</v>
      </c>
      <c r="K6" s="223">
        <f>K7</f>
        <v>893.39471</v>
      </c>
      <c r="L6" s="224"/>
      <c r="M6" s="223">
        <f aca="true" t="shared" si="0" ref="M6:BR6">M7</f>
        <v>2172.257</v>
      </c>
      <c r="N6" s="223">
        <f t="shared" si="0"/>
        <v>0</v>
      </c>
      <c r="O6" s="223">
        <f t="shared" si="0"/>
        <v>172.257</v>
      </c>
      <c r="P6" s="223">
        <f t="shared" si="0"/>
        <v>2000</v>
      </c>
      <c r="Q6" s="223">
        <f t="shared" si="0"/>
        <v>0</v>
      </c>
      <c r="R6" s="225">
        <f t="shared" si="0"/>
        <v>2172.257</v>
      </c>
      <c r="S6" s="223">
        <f t="shared" si="0"/>
        <v>0</v>
      </c>
      <c r="T6" s="223">
        <f t="shared" si="0"/>
        <v>172.257</v>
      </c>
      <c r="U6" s="223">
        <f t="shared" si="0"/>
        <v>2000</v>
      </c>
      <c r="V6" s="226">
        <f t="shared" si="0"/>
        <v>0</v>
      </c>
      <c r="W6" s="223">
        <f t="shared" si="0"/>
        <v>0</v>
      </c>
      <c r="X6" s="223">
        <f t="shared" si="0"/>
        <v>0</v>
      </c>
      <c r="Y6" s="223">
        <f t="shared" si="0"/>
        <v>0</v>
      </c>
      <c r="Z6" s="223">
        <f t="shared" si="0"/>
        <v>0</v>
      </c>
      <c r="AA6" s="223">
        <f t="shared" si="0"/>
        <v>0</v>
      </c>
      <c r="AB6" s="223">
        <f t="shared" si="0"/>
        <v>2172.257</v>
      </c>
      <c r="AC6" s="223">
        <f t="shared" si="0"/>
        <v>0</v>
      </c>
      <c r="AD6" s="223">
        <f t="shared" si="0"/>
        <v>172.257</v>
      </c>
      <c r="AE6" s="223">
        <f t="shared" si="0"/>
        <v>2000</v>
      </c>
      <c r="AF6" s="223">
        <f t="shared" si="0"/>
        <v>0</v>
      </c>
      <c r="AG6" s="223">
        <f t="shared" si="0"/>
        <v>0</v>
      </c>
      <c r="AH6" s="223">
        <f t="shared" si="0"/>
        <v>0</v>
      </c>
      <c r="AI6" s="223">
        <f t="shared" si="0"/>
        <v>0</v>
      </c>
      <c r="AJ6" s="223">
        <f t="shared" si="0"/>
        <v>0</v>
      </c>
      <c r="AK6" s="227">
        <f t="shared" si="0"/>
        <v>0</v>
      </c>
      <c r="AL6" s="225">
        <f t="shared" si="0"/>
        <v>2172.257</v>
      </c>
      <c r="AM6" s="223">
        <f t="shared" si="0"/>
        <v>0</v>
      </c>
      <c r="AN6" s="223">
        <f t="shared" si="0"/>
        <v>172.257</v>
      </c>
      <c r="AO6" s="223">
        <f t="shared" si="0"/>
        <v>2000</v>
      </c>
      <c r="AP6" s="226">
        <f t="shared" si="0"/>
        <v>0</v>
      </c>
      <c r="AQ6" s="223">
        <f t="shared" si="0"/>
        <v>2172.257</v>
      </c>
      <c r="AR6" s="223">
        <f t="shared" si="0"/>
        <v>0</v>
      </c>
      <c r="AS6" s="223">
        <f t="shared" si="0"/>
        <v>172.257</v>
      </c>
      <c r="AT6" s="223">
        <f t="shared" si="0"/>
        <v>2000</v>
      </c>
      <c r="AU6" s="223">
        <f t="shared" si="0"/>
        <v>0</v>
      </c>
      <c r="AV6" s="223">
        <f t="shared" si="0"/>
        <v>2172.257</v>
      </c>
      <c r="AW6" s="223">
        <f t="shared" si="0"/>
        <v>0</v>
      </c>
      <c r="AX6" s="223">
        <f t="shared" si="0"/>
        <v>172.257</v>
      </c>
      <c r="AY6" s="223">
        <f t="shared" si="0"/>
        <v>2000</v>
      </c>
      <c r="AZ6" s="223">
        <f t="shared" si="0"/>
        <v>0</v>
      </c>
      <c r="BA6" s="223">
        <f t="shared" si="0"/>
        <v>893.39471</v>
      </c>
      <c r="BB6" s="223">
        <f t="shared" si="0"/>
        <v>0</v>
      </c>
      <c r="BC6" s="223">
        <f t="shared" si="0"/>
        <v>405.89471</v>
      </c>
      <c r="BD6" s="223">
        <f t="shared" si="0"/>
        <v>487.5</v>
      </c>
      <c r="BE6" s="223">
        <f t="shared" si="0"/>
        <v>0</v>
      </c>
      <c r="BF6" s="223">
        <f t="shared" si="0"/>
        <v>893.39471</v>
      </c>
      <c r="BG6" s="223">
        <f t="shared" si="0"/>
        <v>0</v>
      </c>
      <c r="BH6" s="223">
        <f t="shared" si="0"/>
        <v>405.89471</v>
      </c>
      <c r="BI6" s="223">
        <f t="shared" si="0"/>
        <v>487.5</v>
      </c>
      <c r="BJ6" s="223">
        <f t="shared" si="0"/>
        <v>0</v>
      </c>
      <c r="BK6" s="223">
        <f t="shared" si="0"/>
        <v>3065.65171</v>
      </c>
      <c r="BL6" s="223">
        <f t="shared" si="0"/>
        <v>0</v>
      </c>
      <c r="BM6" s="223">
        <f t="shared" si="0"/>
        <v>578.15171</v>
      </c>
      <c r="BN6" s="223">
        <f t="shared" si="0"/>
        <v>2487.5</v>
      </c>
      <c r="BO6" s="223">
        <f t="shared" si="0"/>
        <v>0</v>
      </c>
      <c r="BP6" s="314">
        <f t="shared" si="0"/>
        <v>0</v>
      </c>
      <c r="BQ6" s="315">
        <f t="shared" si="0"/>
        <v>0</v>
      </c>
      <c r="BR6" s="315">
        <f t="shared" si="0"/>
        <v>0</v>
      </c>
      <c r="BS6" s="315">
        <f>BS7</f>
        <v>0</v>
      </c>
      <c r="BT6" s="315">
        <f>BT7</f>
        <v>0</v>
      </c>
      <c r="BV6" s="305"/>
      <c r="BW6" s="349" t="s">
        <v>278</v>
      </c>
      <c r="BY6" s="223">
        <f>BY7</f>
        <v>0</v>
      </c>
      <c r="BZ6" s="223">
        <f>BZ7</f>
        <v>1</v>
      </c>
      <c r="CA6" s="315">
        <f>CA7</f>
        <v>0</v>
      </c>
      <c r="CB6" s="223">
        <f>CB7</f>
        <v>0</v>
      </c>
      <c r="CC6" s="223">
        <f>CC7</f>
        <v>0</v>
      </c>
    </row>
    <row r="7" spans="1:81" s="229" customFormat="1" ht="15" customHeight="1">
      <c r="A7" s="230">
        <v>1</v>
      </c>
      <c r="B7" s="231" t="s">
        <v>2</v>
      </c>
      <c r="C7" s="232">
        <f>E7+D7+F7</f>
        <v>2172.257</v>
      </c>
      <c r="D7" s="233"/>
      <c r="E7" s="232">
        <f>M7</f>
        <v>2172.257</v>
      </c>
      <c r="F7" s="233"/>
      <c r="G7" s="232"/>
      <c r="H7" s="232">
        <f>I7+J7+K7</f>
        <v>3065.65171</v>
      </c>
      <c r="I7" s="233"/>
      <c r="J7" s="232">
        <f>AL7</f>
        <v>2172.257</v>
      </c>
      <c r="K7" s="232">
        <f>BF7</f>
        <v>893.39471</v>
      </c>
      <c r="L7" s="233"/>
      <c r="M7" s="232">
        <f>N7+O7+P7+Q7</f>
        <v>2172.257</v>
      </c>
      <c r="N7" s="232"/>
      <c r="O7" s="232">
        <v>172.257</v>
      </c>
      <c r="P7" s="232">
        <v>2000</v>
      </c>
      <c r="Q7" s="232"/>
      <c r="R7" s="234">
        <f>S7+T7+U7+V7</f>
        <v>2172.257</v>
      </c>
      <c r="S7" s="232"/>
      <c r="T7" s="232">
        <v>172.257</v>
      </c>
      <c r="U7" s="232">
        <v>2000</v>
      </c>
      <c r="V7" s="235"/>
      <c r="W7" s="232">
        <f>X7+Y7+Z7+AA7</f>
        <v>0</v>
      </c>
      <c r="X7" s="232">
        <f>N7-S7</f>
        <v>0</v>
      </c>
      <c r="Y7" s="232">
        <f>O7-T7</f>
        <v>0</v>
      </c>
      <c r="Z7" s="232">
        <f>P7-U7</f>
        <v>0</v>
      </c>
      <c r="AA7" s="232">
        <f>Q7-V7</f>
        <v>0</v>
      </c>
      <c r="AB7" s="232">
        <f>AC7+AD7+AE7+AF7</f>
        <v>2172.257</v>
      </c>
      <c r="AC7" s="232"/>
      <c r="AD7" s="232">
        <f>T7</f>
        <v>172.257</v>
      </c>
      <c r="AE7" s="232">
        <f>U7</f>
        <v>2000</v>
      </c>
      <c r="AF7" s="232">
        <f>V7</f>
        <v>0</v>
      </c>
      <c r="AG7" s="232">
        <f>AH7+AI7+AJ7+AK7</f>
        <v>0</v>
      </c>
      <c r="AH7" s="232"/>
      <c r="AI7" s="232"/>
      <c r="AJ7" s="232"/>
      <c r="AK7" s="236"/>
      <c r="AL7" s="234">
        <f>AM7+AN7+AO7+AP7</f>
        <v>2172.257</v>
      </c>
      <c r="AM7" s="232"/>
      <c r="AN7" s="232">
        <f>AD7</f>
        <v>172.257</v>
      </c>
      <c r="AO7" s="232">
        <f>AE7</f>
        <v>2000</v>
      </c>
      <c r="AP7" s="235">
        <f>AF7</f>
        <v>0</v>
      </c>
      <c r="AQ7" s="232">
        <f>AR7+AS7+AT7+AU7</f>
        <v>2172.257</v>
      </c>
      <c r="AR7" s="232"/>
      <c r="AS7" s="232">
        <v>172.257</v>
      </c>
      <c r="AT7" s="232">
        <v>2000</v>
      </c>
      <c r="AU7" s="232"/>
      <c r="AV7" s="232">
        <f>AW7+AX7+AY7+AZ7</f>
        <v>2172.257</v>
      </c>
      <c r="AW7" s="232"/>
      <c r="AX7" s="232">
        <v>172.257</v>
      </c>
      <c r="AY7" s="232">
        <v>2000</v>
      </c>
      <c r="AZ7" s="232"/>
      <c r="BA7" s="232">
        <f>BB7+BC7+BD7+BE7</f>
        <v>893.39471</v>
      </c>
      <c r="BB7" s="232"/>
      <c r="BC7" s="232">
        <v>405.89471</v>
      </c>
      <c r="BD7" s="232">
        <v>487.5</v>
      </c>
      <c r="BE7" s="232"/>
      <c r="BF7" s="232">
        <f>BG7+BH7+BI7+BJ7</f>
        <v>893.39471</v>
      </c>
      <c r="BG7" s="232"/>
      <c r="BH7" s="232">
        <v>405.89471</v>
      </c>
      <c r="BI7" s="232">
        <v>487.5</v>
      </c>
      <c r="BJ7" s="232"/>
      <c r="BK7" s="232">
        <f>BL7+BM7+BN7+BO7</f>
        <v>3065.65171</v>
      </c>
      <c r="BL7" s="232">
        <f>AW7+BG7</f>
        <v>0</v>
      </c>
      <c r="BM7" s="232">
        <f>AX7+BH7</f>
        <v>578.15171</v>
      </c>
      <c r="BN7" s="232">
        <f>AY7+BI7</f>
        <v>2487.5</v>
      </c>
      <c r="BO7" s="232">
        <f>AZ7+BJ7</f>
        <v>0</v>
      </c>
      <c r="BP7" s="316">
        <f>BQ7+BR7+BS7+BT7</f>
        <v>0</v>
      </c>
      <c r="BQ7" s="317">
        <f>AM7-AW7</f>
        <v>0</v>
      </c>
      <c r="BR7" s="317">
        <f>AN7-AX7</f>
        <v>0</v>
      </c>
      <c r="BS7" s="317">
        <f>AO7-AY7</f>
        <v>0</v>
      </c>
      <c r="BT7" s="317">
        <f>AP7-AZ7</f>
        <v>0</v>
      </c>
      <c r="BU7" s="229">
        <v>1</v>
      </c>
      <c r="BV7" s="305"/>
      <c r="BW7" s="331" t="s">
        <v>228</v>
      </c>
      <c r="BY7" s="232"/>
      <c r="BZ7" s="232">
        <v>1</v>
      </c>
      <c r="CA7" s="317"/>
      <c r="CB7" s="232"/>
      <c r="CC7" s="232"/>
    </row>
    <row r="8" spans="1:81" s="229" customFormat="1" ht="15" customHeight="1">
      <c r="A8" s="238"/>
      <c r="B8" s="222" t="s">
        <v>11</v>
      </c>
      <c r="C8" s="223">
        <f>SUM(C9:C10)</f>
        <v>11739.731</v>
      </c>
      <c r="D8" s="224"/>
      <c r="E8" s="223">
        <f>SUM(E9:E10)</f>
        <v>11739.731</v>
      </c>
      <c r="F8" s="224"/>
      <c r="G8" s="224"/>
      <c r="H8" s="223">
        <f>SUM(H9:H10)</f>
        <v>12211.454280000002</v>
      </c>
      <c r="I8" s="224"/>
      <c r="J8" s="223">
        <f>SUM(J9:J10)</f>
        <v>11739.731</v>
      </c>
      <c r="K8" s="223">
        <f>SUM(K9:K10)</f>
        <v>471.72328</v>
      </c>
      <c r="L8" s="224"/>
      <c r="M8" s="223">
        <f>SUM(M9:M10)</f>
        <v>11739.731</v>
      </c>
      <c r="N8" s="223">
        <f>SUM(N9:N10)</f>
        <v>0</v>
      </c>
      <c r="O8" s="223">
        <f>SUM(O9:O10)</f>
        <v>391.398</v>
      </c>
      <c r="P8" s="223">
        <f>SUM(P9:P10)</f>
        <v>11348.333</v>
      </c>
      <c r="Q8" s="223">
        <f>SUM(Q9:Q10)</f>
        <v>0</v>
      </c>
      <c r="R8" s="225">
        <f aca="true" t="shared" si="1" ref="R8:AP8">SUM(R9:R10)</f>
        <v>11739.731</v>
      </c>
      <c r="S8" s="223">
        <f t="shared" si="1"/>
        <v>0</v>
      </c>
      <c r="T8" s="223">
        <f t="shared" si="1"/>
        <v>391.398</v>
      </c>
      <c r="U8" s="223">
        <f t="shared" si="1"/>
        <v>11348.333</v>
      </c>
      <c r="V8" s="226">
        <f t="shared" si="1"/>
        <v>0</v>
      </c>
      <c r="W8" s="223">
        <f t="shared" si="1"/>
        <v>0</v>
      </c>
      <c r="X8" s="223">
        <f t="shared" si="1"/>
        <v>0</v>
      </c>
      <c r="Y8" s="223">
        <f t="shared" si="1"/>
        <v>0</v>
      </c>
      <c r="Z8" s="223">
        <f t="shared" si="1"/>
        <v>0</v>
      </c>
      <c r="AA8" s="223">
        <f t="shared" si="1"/>
        <v>0</v>
      </c>
      <c r="AB8" s="223">
        <f t="shared" si="1"/>
        <v>11739.731</v>
      </c>
      <c r="AC8" s="223">
        <f t="shared" si="1"/>
        <v>0</v>
      </c>
      <c r="AD8" s="223">
        <f t="shared" si="1"/>
        <v>391.398</v>
      </c>
      <c r="AE8" s="223">
        <f t="shared" si="1"/>
        <v>11348.333</v>
      </c>
      <c r="AF8" s="223">
        <f t="shared" si="1"/>
        <v>0</v>
      </c>
      <c r="AG8" s="223">
        <f t="shared" si="1"/>
        <v>0</v>
      </c>
      <c r="AH8" s="223">
        <f t="shared" si="1"/>
        <v>0</v>
      </c>
      <c r="AI8" s="223">
        <f t="shared" si="1"/>
        <v>0</v>
      </c>
      <c r="AJ8" s="223">
        <f t="shared" si="1"/>
        <v>0</v>
      </c>
      <c r="AK8" s="227">
        <f t="shared" si="1"/>
        <v>0</v>
      </c>
      <c r="AL8" s="225">
        <f t="shared" si="1"/>
        <v>11739.731</v>
      </c>
      <c r="AM8" s="223">
        <f t="shared" si="1"/>
        <v>0</v>
      </c>
      <c r="AN8" s="223">
        <f t="shared" si="1"/>
        <v>391.398</v>
      </c>
      <c r="AO8" s="223">
        <f t="shared" si="1"/>
        <v>11348.333</v>
      </c>
      <c r="AP8" s="226">
        <f t="shared" si="1"/>
        <v>0</v>
      </c>
      <c r="AQ8" s="223">
        <f aca="true" t="shared" si="2" ref="AQ8:BE8">SUM(AQ9:AQ10)</f>
        <v>2629.13</v>
      </c>
      <c r="AR8" s="223">
        <f t="shared" si="2"/>
        <v>0</v>
      </c>
      <c r="AS8" s="223">
        <f t="shared" si="2"/>
        <v>280.797</v>
      </c>
      <c r="AT8" s="223">
        <f t="shared" si="2"/>
        <v>2348.333</v>
      </c>
      <c r="AU8" s="223">
        <f t="shared" si="2"/>
        <v>0</v>
      </c>
      <c r="AV8" s="223">
        <f t="shared" si="2"/>
        <v>2629.13</v>
      </c>
      <c r="AW8" s="223">
        <f t="shared" si="2"/>
        <v>0</v>
      </c>
      <c r="AX8" s="223">
        <f t="shared" si="2"/>
        <v>280.797</v>
      </c>
      <c r="AY8" s="223">
        <f t="shared" si="2"/>
        <v>2348.333</v>
      </c>
      <c r="AZ8" s="223">
        <f t="shared" si="2"/>
        <v>0</v>
      </c>
      <c r="BA8" s="223">
        <f t="shared" si="2"/>
        <v>471.72328</v>
      </c>
      <c r="BB8" s="223">
        <f t="shared" si="2"/>
        <v>0</v>
      </c>
      <c r="BC8" s="223">
        <f t="shared" si="2"/>
        <v>25.54326</v>
      </c>
      <c r="BD8" s="223">
        <f t="shared" si="2"/>
        <v>446.18002</v>
      </c>
      <c r="BE8" s="223">
        <f t="shared" si="2"/>
        <v>0</v>
      </c>
      <c r="BF8" s="223">
        <f aca="true" t="shared" si="3" ref="BF8:BT8">SUM(BF9:BF10)</f>
        <v>471.72328</v>
      </c>
      <c r="BG8" s="223">
        <f t="shared" si="3"/>
        <v>0</v>
      </c>
      <c r="BH8" s="223">
        <f t="shared" si="3"/>
        <v>25.54326</v>
      </c>
      <c r="BI8" s="223">
        <f t="shared" si="3"/>
        <v>446.18002</v>
      </c>
      <c r="BJ8" s="223">
        <f t="shared" si="3"/>
        <v>0</v>
      </c>
      <c r="BK8" s="223">
        <f t="shared" si="3"/>
        <v>3100.8532800000003</v>
      </c>
      <c r="BL8" s="223">
        <f t="shared" si="3"/>
        <v>0</v>
      </c>
      <c r="BM8" s="223">
        <f t="shared" si="3"/>
        <v>306.34026</v>
      </c>
      <c r="BN8" s="223">
        <f t="shared" si="3"/>
        <v>2794.5130200000003</v>
      </c>
      <c r="BO8" s="223">
        <f t="shared" si="3"/>
        <v>0</v>
      </c>
      <c r="BP8" s="314">
        <f t="shared" si="3"/>
        <v>9110.601</v>
      </c>
      <c r="BQ8" s="315">
        <f t="shared" si="3"/>
        <v>0</v>
      </c>
      <c r="BR8" s="315">
        <f t="shared" si="3"/>
        <v>110.601</v>
      </c>
      <c r="BS8" s="315">
        <f t="shared" si="3"/>
        <v>9000</v>
      </c>
      <c r="BT8" s="315">
        <f t="shared" si="3"/>
        <v>0</v>
      </c>
      <c r="BV8" s="305"/>
      <c r="BW8" s="349" t="s">
        <v>279</v>
      </c>
      <c r="BY8" s="223">
        <f>SUM(BY9:BY10)</f>
        <v>0</v>
      </c>
      <c r="BZ8" s="223">
        <f>SUM(BZ9:BZ10)</f>
        <v>1</v>
      </c>
      <c r="CA8" s="315">
        <f>SUM(CA9:CA10)</f>
        <v>1</v>
      </c>
      <c r="CB8" s="223">
        <f>SUM(CB9:CB10)</f>
        <v>0</v>
      </c>
      <c r="CC8" s="223">
        <f>SUM(CC9:CC10)</f>
        <v>0</v>
      </c>
    </row>
    <row r="9" spans="1:81" s="229" customFormat="1" ht="15" customHeight="1">
      <c r="A9" s="230">
        <v>2</v>
      </c>
      <c r="B9" s="239" t="s">
        <v>51</v>
      </c>
      <c r="C9" s="232">
        <f>E9+D9+F9</f>
        <v>2629.13</v>
      </c>
      <c r="D9" s="233"/>
      <c r="E9" s="232">
        <f>M9</f>
        <v>2629.13</v>
      </c>
      <c r="F9" s="233"/>
      <c r="G9" s="232"/>
      <c r="H9" s="232">
        <f>I9+J9+K9</f>
        <v>3100.8532800000003</v>
      </c>
      <c r="I9" s="233"/>
      <c r="J9" s="232">
        <f>AL9</f>
        <v>2629.13</v>
      </c>
      <c r="K9" s="232">
        <f>BF9</f>
        <v>471.72328</v>
      </c>
      <c r="L9" s="240"/>
      <c r="M9" s="232">
        <f>N9+O9+P9+Q9</f>
        <v>2629.13</v>
      </c>
      <c r="N9" s="232"/>
      <c r="O9" s="232">
        <v>280.797</v>
      </c>
      <c r="P9" s="232">
        <v>2348.333</v>
      </c>
      <c r="Q9" s="232"/>
      <c r="R9" s="234">
        <f>S9+T9+U9+V9</f>
        <v>2629.13</v>
      </c>
      <c r="S9" s="232"/>
      <c r="T9" s="232">
        <v>280.797</v>
      </c>
      <c r="U9" s="232">
        <v>2348.333</v>
      </c>
      <c r="V9" s="235"/>
      <c r="W9" s="232">
        <f>X9+Y9+Z9+AA9</f>
        <v>0</v>
      </c>
      <c r="X9" s="232">
        <f aca="true" t="shared" si="4" ref="X9:AA10">N9-S9</f>
        <v>0</v>
      </c>
      <c r="Y9" s="232">
        <f t="shared" si="4"/>
        <v>0</v>
      </c>
      <c r="Z9" s="232">
        <f t="shared" si="4"/>
        <v>0</v>
      </c>
      <c r="AA9" s="232">
        <f t="shared" si="4"/>
        <v>0</v>
      </c>
      <c r="AB9" s="232">
        <f>AC9+AD9+AE9+AF9</f>
        <v>2629.13</v>
      </c>
      <c r="AC9" s="232"/>
      <c r="AD9" s="232">
        <f aca="true" t="shared" si="5" ref="AD9:AF10">T9</f>
        <v>280.797</v>
      </c>
      <c r="AE9" s="232">
        <f t="shared" si="5"/>
        <v>2348.333</v>
      </c>
      <c r="AF9" s="232">
        <f t="shared" si="5"/>
        <v>0</v>
      </c>
      <c r="AG9" s="232">
        <f>AH9+AI9+AJ9+AK9</f>
        <v>0</v>
      </c>
      <c r="AH9" s="232"/>
      <c r="AI9" s="232"/>
      <c r="AJ9" s="232"/>
      <c r="AK9" s="236"/>
      <c r="AL9" s="234">
        <f>AM9+AN9+AO9+AP9</f>
        <v>2629.13</v>
      </c>
      <c r="AM9" s="232"/>
      <c r="AN9" s="232">
        <f aca="true" t="shared" si="6" ref="AN9:AP10">AD9</f>
        <v>280.797</v>
      </c>
      <c r="AO9" s="232">
        <f t="shared" si="6"/>
        <v>2348.333</v>
      </c>
      <c r="AP9" s="235">
        <f t="shared" si="6"/>
        <v>0</v>
      </c>
      <c r="AQ9" s="232">
        <f>AR9+AS9+AT9+AU9</f>
        <v>2629.13</v>
      </c>
      <c r="AR9" s="232"/>
      <c r="AS9" s="232">
        <v>280.797</v>
      </c>
      <c r="AT9" s="232">
        <v>2348.333</v>
      </c>
      <c r="AU9" s="232"/>
      <c r="AV9" s="232">
        <f>AW9+AX9+AY9+AZ9</f>
        <v>2629.13</v>
      </c>
      <c r="AW9" s="232"/>
      <c r="AX9" s="232">
        <v>280.797</v>
      </c>
      <c r="AY9" s="232">
        <v>2348.333</v>
      </c>
      <c r="AZ9" s="232"/>
      <c r="BA9" s="232">
        <f>BB9+BC9+BD9+BE9</f>
        <v>471.72328</v>
      </c>
      <c r="BB9" s="232"/>
      <c r="BC9" s="232">
        <v>25.54326</v>
      </c>
      <c r="BD9" s="232">
        <v>446.18002</v>
      </c>
      <c r="BE9" s="232"/>
      <c r="BF9" s="232">
        <f>BG9+BH9+BI9+BJ9</f>
        <v>471.72328</v>
      </c>
      <c r="BG9" s="232"/>
      <c r="BH9" s="232">
        <v>25.54326</v>
      </c>
      <c r="BI9" s="232">
        <v>446.18002</v>
      </c>
      <c r="BJ9" s="232"/>
      <c r="BK9" s="232">
        <f>BL9+BM9+BN9+BO9</f>
        <v>3100.8532800000003</v>
      </c>
      <c r="BL9" s="232">
        <f aca="true" t="shared" si="7" ref="BL9:BO10">AW9+BG9</f>
        <v>0</v>
      </c>
      <c r="BM9" s="232">
        <f t="shared" si="7"/>
        <v>306.34026</v>
      </c>
      <c r="BN9" s="232">
        <f t="shared" si="7"/>
        <v>2794.5130200000003</v>
      </c>
      <c r="BO9" s="232">
        <f t="shared" si="7"/>
        <v>0</v>
      </c>
      <c r="BP9" s="316">
        <f>BQ9+BR9+BS9+BT9</f>
        <v>0</v>
      </c>
      <c r="BQ9" s="317">
        <f aca="true" t="shared" si="8" ref="BQ9:BT10">AM9-AW9</f>
        <v>0</v>
      </c>
      <c r="BR9" s="317">
        <f t="shared" si="8"/>
        <v>0</v>
      </c>
      <c r="BS9" s="317">
        <f t="shared" si="8"/>
        <v>0</v>
      </c>
      <c r="BT9" s="317">
        <f t="shared" si="8"/>
        <v>0</v>
      </c>
      <c r="BU9" s="229">
        <v>1</v>
      </c>
      <c r="BV9" s="305"/>
      <c r="BW9" s="331" t="s">
        <v>228</v>
      </c>
      <c r="BY9" s="232"/>
      <c r="BZ9" s="232">
        <v>1</v>
      </c>
      <c r="CA9" s="317"/>
      <c r="CB9" s="232"/>
      <c r="CC9" s="232"/>
    </row>
    <row r="10" spans="1:81" s="229" customFormat="1" ht="17.25" customHeight="1">
      <c r="A10" s="230">
        <v>3</v>
      </c>
      <c r="B10" s="239" t="s">
        <v>52</v>
      </c>
      <c r="C10" s="232">
        <f>E10+D10+F10</f>
        <v>9110.601</v>
      </c>
      <c r="D10" s="233"/>
      <c r="E10" s="232">
        <f>M10</f>
        <v>9110.601</v>
      </c>
      <c r="F10" s="233"/>
      <c r="G10" s="232"/>
      <c r="H10" s="232">
        <f>I10+J10+K10</f>
        <v>9110.601</v>
      </c>
      <c r="I10" s="233"/>
      <c r="J10" s="232">
        <f>AL10</f>
        <v>9110.601</v>
      </c>
      <c r="K10" s="232">
        <f>BF10</f>
        <v>0</v>
      </c>
      <c r="L10" s="240"/>
      <c r="M10" s="232">
        <f>N10+O10+P10+Q10</f>
        <v>9110.601</v>
      </c>
      <c r="N10" s="232"/>
      <c r="O10" s="232">
        <v>110.601</v>
      </c>
      <c r="P10" s="232">
        <v>9000</v>
      </c>
      <c r="Q10" s="232"/>
      <c r="R10" s="234">
        <f>S10+T10+U10+V10</f>
        <v>9110.601</v>
      </c>
      <c r="S10" s="232"/>
      <c r="T10" s="232">
        <v>110.601</v>
      </c>
      <c r="U10" s="232">
        <v>9000</v>
      </c>
      <c r="V10" s="235"/>
      <c r="W10" s="232">
        <f>X10+Y10+Z10+AA10</f>
        <v>0</v>
      </c>
      <c r="X10" s="232">
        <f t="shared" si="4"/>
        <v>0</v>
      </c>
      <c r="Y10" s="232">
        <f t="shared" si="4"/>
        <v>0</v>
      </c>
      <c r="Z10" s="232">
        <f t="shared" si="4"/>
        <v>0</v>
      </c>
      <c r="AA10" s="232">
        <f t="shared" si="4"/>
        <v>0</v>
      </c>
      <c r="AB10" s="232">
        <f>AC10+AD10+AE10+AF10</f>
        <v>9110.601</v>
      </c>
      <c r="AC10" s="232"/>
      <c r="AD10" s="232">
        <f t="shared" si="5"/>
        <v>110.601</v>
      </c>
      <c r="AE10" s="232">
        <f t="shared" si="5"/>
        <v>9000</v>
      </c>
      <c r="AF10" s="232">
        <f t="shared" si="5"/>
        <v>0</v>
      </c>
      <c r="AG10" s="232">
        <f>AH10+AI10+AJ10+AK10</f>
        <v>0</v>
      </c>
      <c r="AH10" s="232"/>
      <c r="AI10" s="232"/>
      <c r="AJ10" s="232"/>
      <c r="AK10" s="236"/>
      <c r="AL10" s="234">
        <f>AM10+AN10+AO10+AP10</f>
        <v>9110.601</v>
      </c>
      <c r="AM10" s="232"/>
      <c r="AN10" s="232">
        <f t="shared" si="6"/>
        <v>110.601</v>
      </c>
      <c r="AO10" s="232">
        <f t="shared" si="6"/>
        <v>9000</v>
      </c>
      <c r="AP10" s="235">
        <f t="shared" si="6"/>
        <v>0</v>
      </c>
      <c r="AQ10" s="232">
        <f>AR10+AS10+AT10+AU10</f>
        <v>0</v>
      </c>
      <c r="AR10" s="232"/>
      <c r="AS10" s="232"/>
      <c r="AT10" s="232"/>
      <c r="AU10" s="232"/>
      <c r="AV10" s="232">
        <f>AW10+AX10+AY10+AZ10</f>
        <v>0</v>
      </c>
      <c r="AW10" s="232"/>
      <c r="AX10" s="232"/>
      <c r="AY10" s="232"/>
      <c r="AZ10" s="232"/>
      <c r="BA10" s="232">
        <f>BB10+BC10+BD10+BE10</f>
        <v>0</v>
      </c>
      <c r="BB10" s="232"/>
      <c r="BC10" s="232"/>
      <c r="BD10" s="232"/>
      <c r="BE10" s="232"/>
      <c r="BF10" s="232">
        <f>BG10+BH10+BI10+BJ10</f>
        <v>0</v>
      </c>
      <c r="BG10" s="232"/>
      <c r="BH10" s="232"/>
      <c r="BI10" s="232"/>
      <c r="BJ10" s="232"/>
      <c r="BK10" s="232">
        <f>BL10+BM10+BN10+BO10</f>
        <v>0</v>
      </c>
      <c r="BL10" s="232">
        <f t="shared" si="7"/>
        <v>0</v>
      </c>
      <c r="BM10" s="232">
        <f t="shared" si="7"/>
        <v>0</v>
      </c>
      <c r="BN10" s="232">
        <f t="shared" si="7"/>
        <v>0</v>
      </c>
      <c r="BO10" s="232">
        <f t="shared" si="7"/>
        <v>0</v>
      </c>
      <c r="BP10" s="316">
        <f>BQ10+BR10+BS10+BT10</f>
        <v>9110.601</v>
      </c>
      <c r="BQ10" s="317">
        <f t="shared" si="8"/>
        <v>0</v>
      </c>
      <c r="BR10" s="317">
        <f t="shared" si="8"/>
        <v>110.601</v>
      </c>
      <c r="BS10" s="317">
        <f t="shared" si="8"/>
        <v>9000</v>
      </c>
      <c r="BT10" s="317">
        <f t="shared" si="8"/>
        <v>0</v>
      </c>
      <c r="BV10" s="305">
        <v>1</v>
      </c>
      <c r="BW10" s="332" t="s">
        <v>229</v>
      </c>
      <c r="BY10" s="232"/>
      <c r="BZ10" s="232"/>
      <c r="CA10" s="317">
        <v>1</v>
      </c>
      <c r="CB10" s="232"/>
      <c r="CC10" s="232"/>
    </row>
    <row r="11" spans="1:81" s="229" customFormat="1" ht="22.5" customHeight="1">
      <c r="A11" s="238"/>
      <c r="B11" s="301" t="s">
        <v>12</v>
      </c>
      <c r="C11" s="228">
        <f aca="true" t="shared" si="9" ref="C11:K11">SUM(C12:C28)</f>
        <v>34016.141</v>
      </c>
      <c r="D11" s="228">
        <f t="shared" si="9"/>
        <v>0</v>
      </c>
      <c r="E11" s="228">
        <f t="shared" si="9"/>
        <v>34016.141</v>
      </c>
      <c r="F11" s="228">
        <f t="shared" si="9"/>
        <v>0</v>
      </c>
      <c r="G11" s="228">
        <f t="shared" si="9"/>
        <v>0</v>
      </c>
      <c r="H11" s="228">
        <f t="shared" si="9"/>
        <v>33128.73511</v>
      </c>
      <c r="I11" s="228">
        <f t="shared" si="9"/>
        <v>0</v>
      </c>
      <c r="J11" s="228">
        <f t="shared" si="9"/>
        <v>29281.141000000003</v>
      </c>
      <c r="K11" s="228">
        <f t="shared" si="9"/>
        <v>3847.5941100000005</v>
      </c>
      <c r="L11" s="222"/>
      <c r="M11" s="223">
        <f>N11+O11+P11+Q11</f>
        <v>34016.14099999999</v>
      </c>
      <c r="N11" s="223">
        <f>SUM(N12:N28)</f>
        <v>4735</v>
      </c>
      <c r="O11" s="223">
        <f>SUM(O12:O28)</f>
        <v>23498.22299999999</v>
      </c>
      <c r="P11" s="223">
        <f>SUM(P12:P28)</f>
        <v>5000</v>
      </c>
      <c r="Q11" s="223">
        <f>SUM(Q12:Q28)</f>
        <v>782.918</v>
      </c>
      <c r="R11" s="225">
        <f aca="true" t="shared" si="10" ref="R11:AP11">SUM(R12:R28)</f>
        <v>34016.141</v>
      </c>
      <c r="S11" s="223">
        <f t="shared" si="10"/>
        <v>4735</v>
      </c>
      <c r="T11" s="223">
        <f t="shared" si="10"/>
        <v>23498.22299999999</v>
      </c>
      <c r="U11" s="223">
        <f t="shared" si="10"/>
        <v>5000</v>
      </c>
      <c r="V11" s="226">
        <f t="shared" si="10"/>
        <v>782.918</v>
      </c>
      <c r="W11" s="223">
        <f t="shared" si="10"/>
        <v>0</v>
      </c>
      <c r="X11" s="223">
        <f t="shared" si="10"/>
        <v>0</v>
      </c>
      <c r="Y11" s="223">
        <f t="shared" si="10"/>
        <v>0</v>
      </c>
      <c r="Z11" s="223">
        <f t="shared" si="10"/>
        <v>0</v>
      </c>
      <c r="AA11" s="223">
        <f t="shared" si="10"/>
        <v>0</v>
      </c>
      <c r="AB11" s="223">
        <f t="shared" si="10"/>
        <v>29281.141000000003</v>
      </c>
      <c r="AC11" s="223">
        <f t="shared" si="10"/>
        <v>0</v>
      </c>
      <c r="AD11" s="223">
        <f t="shared" si="10"/>
        <v>23498.22299999999</v>
      </c>
      <c r="AE11" s="223">
        <f t="shared" si="10"/>
        <v>5000</v>
      </c>
      <c r="AF11" s="223">
        <f t="shared" si="10"/>
        <v>782.918</v>
      </c>
      <c r="AG11" s="223">
        <f t="shared" si="10"/>
        <v>0</v>
      </c>
      <c r="AH11" s="223">
        <f t="shared" si="10"/>
        <v>0</v>
      </c>
      <c r="AI11" s="223">
        <f t="shared" si="10"/>
        <v>0</v>
      </c>
      <c r="AJ11" s="223">
        <f t="shared" si="10"/>
        <v>0</v>
      </c>
      <c r="AK11" s="227">
        <f t="shared" si="10"/>
        <v>0</v>
      </c>
      <c r="AL11" s="225">
        <f t="shared" si="10"/>
        <v>29281.141000000003</v>
      </c>
      <c r="AM11" s="223">
        <f t="shared" si="10"/>
        <v>0</v>
      </c>
      <c r="AN11" s="223">
        <f t="shared" si="10"/>
        <v>23498.22299999999</v>
      </c>
      <c r="AO11" s="223">
        <f t="shared" si="10"/>
        <v>5000</v>
      </c>
      <c r="AP11" s="226">
        <f t="shared" si="10"/>
        <v>782.918</v>
      </c>
      <c r="AQ11" s="223">
        <f aca="true" t="shared" si="11" ref="AQ11:BE11">SUM(AQ12:AQ28)</f>
        <v>23697.99389</v>
      </c>
      <c r="AR11" s="223">
        <f t="shared" si="11"/>
        <v>0</v>
      </c>
      <c r="AS11" s="223">
        <f t="shared" si="11"/>
        <v>22944.566729999995</v>
      </c>
      <c r="AT11" s="223">
        <f t="shared" si="11"/>
        <v>0</v>
      </c>
      <c r="AU11" s="223">
        <f t="shared" si="11"/>
        <v>753.42716</v>
      </c>
      <c r="AV11" s="223">
        <f t="shared" si="11"/>
        <v>23697.99389</v>
      </c>
      <c r="AW11" s="223">
        <f t="shared" si="11"/>
        <v>0</v>
      </c>
      <c r="AX11" s="223">
        <f t="shared" si="11"/>
        <v>22944.566729999995</v>
      </c>
      <c r="AY11" s="223">
        <f t="shared" si="11"/>
        <v>0</v>
      </c>
      <c r="AZ11" s="223">
        <f t="shared" si="11"/>
        <v>753.42716</v>
      </c>
      <c r="BA11" s="223">
        <f t="shared" si="11"/>
        <v>3847.5941100000005</v>
      </c>
      <c r="BB11" s="223">
        <f t="shared" si="11"/>
        <v>0</v>
      </c>
      <c r="BC11" s="223">
        <f t="shared" si="11"/>
        <v>3652.3126000000007</v>
      </c>
      <c r="BD11" s="223">
        <f t="shared" si="11"/>
        <v>0</v>
      </c>
      <c r="BE11" s="223">
        <f t="shared" si="11"/>
        <v>195.28151</v>
      </c>
      <c r="BF11" s="223">
        <f aca="true" t="shared" si="12" ref="BF11:BT11">SUM(BF12:BF28)</f>
        <v>3847.5941100000005</v>
      </c>
      <c r="BG11" s="223">
        <f t="shared" si="12"/>
        <v>0</v>
      </c>
      <c r="BH11" s="223">
        <f t="shared" si="12"/>
        <v>3652.3126000000007</v>
      </c>
      <c r="BI11" s="223">
        <f t="shared" si="12"/>
        <v>0</v>
      </c>
      <c r="BJ11" s="223">
        <f t="shared" si="12"/>
        <v>195.28151</v>
      </c>
      <c r="BK11" s="223">
        <f t="shared" si="12"/>
        <v>27545.588</v>
      </c>
      <c r="BL11" s="223">
        <f t="shared" si="12"/>
        <v>0</v>
      </c>
      <c r="BM11" s="223">
        <f t="shared" si="12"/>
        <v>26596.87933</v>
      </c>
      <c r="BN11" s="223">
        <f t="shared" si="12"/>
        <v>0</v>
      </c>
      <c r="BO11" s="223">
        <f t="shared" si="12"/>
        <v>948.70867</v>
      </c>
      <c r="BP11" s="314">
        <f t="shared" si="12"/>
        <v>5583.14711</v>
      </c>
      <c r="BQ11" s="315">
        <f t="shared" si="12"/>
        <v>0</v>
      </c>
      <c r="BR11" s="315">
        <f t="shared" si="12"/>
        <v>553.6562699999997</v>
      </c>
      <c r="BS11" s="315">
        <f t="shared" si="12"/>
        <v>5000</v>
      </c>
      <c r="BT11" s="315">
        <f t="shared" si="12"/>
        <v>29.49083999999999</v>
      </c>
      <c r="BV11" s="305"/>
      <c r="BW11" s="349" t="s">
        <v>283</v>
      </c>
      <c r="BY11" s="223">
        <f>SUM(BY12:BY28)</f>
        <v>582.6999999999999</v>
      </c>
      <c r="BZ11" s="223">
        <f>SUM(BZ12:BZ28)</f>
        <v>15</v>
      </c>
      <c r="CA11" s="315">
        <f>SUM(CA12:CA28)</f>
        <v>2</v>
      </c>
      <c r="CB11" s="223">
        <f>SUM(CB12:CB28)</f>
        <v>0</v>
      </c>
      <c r="CC11" s="223">
        <f>SUM(CC12:CC28)</f>
        <v>0</v>
      </c>
    </row>
    <row r="12" spans="1:81" s="229" customFormat="1" ht="13.5" customHeight="1">
      <c r="A12" s="230">
        <v>4</v>
      </c>
      <c r="B12" s="241" t="s">
        <v>12</v>
      </c>
      <c r="C12" s="232">
        <f aca="true" t="shared" si="13" ref="C12:C28">E12+D12+F12</f>
        <v>4735</v>
      </c>
      <c r="D12" s="233"/>
      <c r="E12" s="232">
        <f aca="true" t="shared" si="14" ref="E12:E28">M12</f>
        <v>4735</v>
      </c>
      <c r="F12" s="233"/>
      <c r="G12" s="232"/>
      <c r="H12" s="232">
        <f aca="true" t="shared" si="15" ref="H12:H28">I12+J12+K12</f>
        <v>0</v>
      </c>
      <c r="I12" s="233"/>
      <c r="J12" s="232">
        <f aca="true" t="shared" si="16" ref="J12:J28">AL12</f>
        <v>0</v>
      </c>
      <c r="K12" s="232">
        <f aca="true" t="shared" si="17" ref="K12:K28">BF12</f>
        <v>0</v>
      </c>
      <c r="L12" s="243"/>
      <c r="M12" s="242">
        <f aca="true" t="shared" si="18" ref="M12:M75">N12+O12+P12+Q12</f>
        <v>4735</v>
      </c>
      <c r="N12" s="242">
        <v>4735</v>
      </c>
      <c r="O12" s="244"/>
      <c r="P12" s="244"/>
      <c r="Q12" s="244"/>
      <c r="R12" s="234">
        <f aca="true" t="shared" si="19" ref="R12:R28">S12+T12+U12+V12</f>
        <v>4735</v>
      </c>
      <c r="S12" s="244">
        <v>4735</v>
      </c>
      <c r="T12" s="244"/>
      <c r="U12" s="244"/>
      <c r="V12" s="245"/>
      <c r="W12" s="232">
        <f aca="true" t="shared" si="20" ref="W12:W28">X12+Y12+Z12+AA12</f>
        <v>0</v>
      </c>
      <c r="X12" s="232">
        <f aca="true" t="shared" si="21" ref="X12:AA28">N12-S12</f>
        <v>0</v>
      </c>
      <c r="Y12" s="232">
        <f t="shared" si="21"/>
        <v>0</v>
      </c>
      <c r="Z12" s="232">
        <f t="shared" si="21"/>
        <v>0</v>
      </c>
      <c r="AA12" s="232">
        <f t="shared" si="21"/>
        <v>0</v>
      </c>
      <c r="AB12" s="232">
        <f aca="true" t="shared" si="22" ref="AB12:AB28">AC12+AD12+AE12+AF12</f>
        <v>0</v>
      </c>
      <c r="AC12" s="232"/>
      <c r="AD12" s="232">
        <f aca="true" t="shared" si="23" ref="AD12:AF28">T12</f>
        <v>0</v>
      </c>
      <c r="AE12" s="232">
        <f t="shared" si="23"/>
        <v>0</v>
      </c>
      <c r="AF12" s="232">
        <f t="shared" si="23"/>
        <v>0</v>
      </c>
      <c r="AG12" s="232">
        <f aca="true" t="shared" si="24" ref="AG12:AG28">AH12+AI12+AJ12+AK12</f>
        <v>0</v>
      </c>
      <c r="AH12" s="232"/>
      <c r="AI12" s="232"/>
      <c r="AJ12" s="232"/>
      <c r="AK12" s="236"/>
      <c r="AL12" s="234">
        <f aca="true" t="shared" si="25" ref="AL12:AL28">AM12+AN12+AO12+AP12</f>
        <v>0</v>
      </c>
      <c r="AM12" s="232"/>
      <c r="AN12" s="232">
        <f aca="true" t="shared" si="26" ref="AN12:AP28">AD12</f>
        <v>0</v>
      </c>
      <c r="AO12" s="232">
        <f t="shared" si="26"/>
        <v>0</v>
      </c>
      <c r="AP12" s="235">
        <f t="shared" si="26"/>
        <v>0</v>
      </c>
      <c r="AQ12" s="232">
        <f aca="true" t="shared" si="27" ref="AQ12:AQ28">AR12+AS12+AT12+AU12</f>
        <v>0</v>
      </c>
      <c r="AR12" s="232"/>
      <c r="AS12" s="232"/>
      <c r="AT12" s="232"/>
      <c r="AU12" s="232"/>
      <c r="AV12" s="232">
        <f aca="true" t="shared" si="28" ref="AV12:AV28">AW12+AX12+AY12+AZ12</f>
        <v>0</v>
      </c>
      <c r="AW12" s="232"/>
      <c r="AX12" s="232"/>
      <c r="AY12" s="232"/>
      <c r="AZ12" s="232"/>
      <c r="BA12" s="232">
        <f aca="true" t="shared" si="29" ref="BA12:BA28">BB12+BC12+BD12+BE12</f>
        <v>0</v>
      </c>
      <c r="BB12" s="232"/>
      <c r="BC12" s="232"/>
      <c r="BD12" s="232"/>
      <c r="BE12" s="232"/>
      <c r="BF12" s="232">
        <f aca="true" t="shared" si="30" ref="BF12:BF28">BG12+BH12+BI12+BJ12</f>
        <v>0</v>
      </c>
      <c r="BG12" s="232"/>
      <c r="BH12" s="232"/>
      <c r="BI12" s="232"/>
      <c r="BJ12" s="232"/>
      <c r="BK12" s="232">
        <f aca="true" t="shared" si="31" ref="BK12:BK28">BL12+BM12+BN12+BO12</f>
        <v>0</v>
      </c>
      <c r="BL12" s="232">
        <f aca="true" t="shared" si="32" ref="BL12:BL28">AW12+BG12</f>
        <v>0</v>
      </c>
      <c r="BM12" s="232">
        <f aca="true" t="shared" si="33" ref="BM12:BM28">AX12+BH12</f>
        <v>0</v>
      </c>
      <c r="BN12" s="232">
        <f aca="true" t="shared" si="34" ref="BN12:BN28">AY12+BI12</f>
        <v>0</v>
      </c>
      <c r="BO12" s="232">
        <f aca="true" t="shared" si="35" ref="BO12:BO28">AZ12+BJ12</f>
        <v>0</v>
      </c>
      <c r="BP12" s="316">
        <f aca="true" t="shared" si="36" ref="BP12:BP28">BQ12+BR12+BS12+BT12</f>
        <v>0</v>
      </c>
      <c r="BQ12" s="317">
        <f aca="true" t="shared" si="37" ref="BQ12:BQ28">AM12-AW12</f>
        <v>0</v>
      </c>
      <c r="BR12" s="317">
        <f aca="true" t="shared" si="38" ref="BR12:BR28">AN12-AX12</f>
        <v>0</v>
      </c>
      <c r="BS12" s="317">
        <f aca="true" t="shared" si="39" ref="BS12:BS28">AO12-AY12</f>
        <v>0</v>
      </c>
      <c r="BT12" s="317">
        <f aca="true" t="shared" si="40" ref="BT12:BT28">AP12-AZ12</f>
        <v>0</v>
      </c>
      <c r="BV12" s="305">
        <v>1</v>
      </c>
      <c r="BW12" s="332" t="s">
        <v>229</v>
      </c>
      <c r="BY12" s="232"/>
      <c r="BZ12" s="232"/>
      <c r="CA12" s="317">
        <v>1</v>
      </c>
      <c r="CB12" s="232"/>
      <c r="CC12" s="232"/>
    </row>
    <row r="13" spans="1:81" s="229" customFormat="1" ht="23.25" customHeight="1">
      <c r="A13" s="230">
        <v>5</v>
      </c>
      <c r="B13" s="239" t="s">
        <v>53</v>
      </c>
      <c r="C13" s="232">
        <f t="shared" si="13"/>
        <v>1154.217</v>
      </c>
      <c r="D13" s="233"/>
      <c r="E13" s="232">
        <f t="shared" si="14"/>
        <v>1154.217</v>
      </c>
      <c r="F13" s="233"/>
      <c r="G13" s="232"/>
      <c r="H13" s="232">
        <f t="shared" si="15"/>
        <v>1430.46515</v>
      </c>
      <c r="I13" s="233"/>
      <c r="J13" s="232">
        <f t="shared" si="16"/>
        <v>1154.217</v>
      </c>
      <c r="K13" s="232">
        <f t="shared" si="17"/>
        <v>276.24815</v>
      </c>
      <c r="L13" s="240"/>
      <c r="M13" s="232">
        <f t="shared" si="18"/>
        <v>1154.217</v>
      </c>
      <c r="N13" s="232"/>
      <c r="O13" s="232">
        <v>618.02</v>
      </c>
      <c r="P13" s="232"/>
      <c r="Q13" s="232">
        <v>536.197</v>
      </c>
      <c r="R13" s="234">
        <f t="shared" si="19"/>
        <v>1154.217</v>
      </c>
      <c r="S13" s="232"/>
      <c r="T13" s="244">
        <v>618.02</v>
      </c>
      <c r="U13" s="244"/>
      <c r="V13" s="235">
        <v>536.197</v>
      </c>
      <c r="W13" s="232">
        <f t="shared" si="20"/>
        <v>0</v>
      </c>
      <c r="X13" s="232">
        <f t="shared" si="21"/>
        <v>0</v>
      </c>
      <c r="Y13" s="232">
        <f t="shared" si="21"/>
        <v>0</v>
      </c>
      <c r="Z13" s="232">
        <f t="shared" si="21"/>
        <v>0</v>
      </c>
      <c r="AA13" s="232">
        <f t="shared" si="21"/>
        <v>0</v>
      </c>
      <c r="AB13" s="232">
        <f t="shared" si="22"/>
        <v>1154.217</v>
      </c>
      <c r="AC13" s="232"/>
      <c r="AD13" s="232">
        <f t="shared" si="23"/>
        <v>618.02</v>
      </c>
      <c r="AE13" s="232">
        <f t="shared" si="23"/>
        <v>0</v>
      </c>
      <c r="AF13" s="232">
        <f t="shared" si="23"/>
        <v>536.197</v>
      </c>
      <c r="AG13" s="232">
        <f t="shared" si="24"/>
        <v>0</v>
      </c>
      <c r="AH13" s="232"/>
      <c r="AI13" s="232"/>
      <c r="AJ13" s="232"/>
      <c r="AK13" s="236"/>
      <c r="AL13" s="234">
        <f t="shared" si="25"/>
        <v>1154.217</v>
      </c>
      <c r="AM13" s="232"/>
      <c r="AN13" s="232">
        <f t="shared" si="26"/>
        <v>618.02</v>
      </c>
      <c r="AO13" s="232">
        <f t="shared" si="26"/>
        <v>0</v>
      </c>
      <c r="AP13" s="235">
        <f t="shared" si="26"/>
        <v>536.197</v>
      </c>
      <c r="AQ13" s="232">
        <f t="shared" si="27"/>
        <v>1096.91522</v>
      </c>
      <c r="AR13" s="232"/>
      <c r="AS13" s="232">
        <v>590.20906</v>
      </c>
      <c r="AT13" s="232"/>
      <c r="AU13" s="232">
        <v>506.70616</v>
      </c>
      <c r="AV13" s="232">
        <f t="shared" si="28"/>
        <v>1096.91522</v>
      </c>
      <c r="AW13" s="232"/>
      <c r="AX13" s="232">
        <v>590.20906</v>
      </c>
      <c r="AY13" s="232"/>
      <c r="AZ13" s="232">
        <v>506.70616</v>
      </c>
      <c r="BA13" s="232">
        <f t="shared" si="29"/>
        <v>276.24815</v>
      </c>
      <c r="BB13" s="232"/>
      <c r="BC13" s="232">
        <v>126.17364</v>
      </c>
      <c r="BD13" s="232"/>
      <c r="BE13" s="232">
        <v>150.07451</v>
      </c>
      <c r="BF13" s="232">
        <f t="shared" si="30"/>
        <v>276.24815</v>
      </c>
      <c r="BG13" s="232"/>
      <c r="BH13" s="232">
        <v>126.17364</v>
      </c>
      <c r="BI13" s="232"/>
      <c r="BJ13" s="232">
        <v>150.07451</v>
      </c>
      <c r="BK13" s="232">
        <f t="shared" si="31"/>
        <v>1373.16337</v>
      </c>
      <c r="BL13" s="232">
        <f t="shared" si="32"/>
        <v>0</v>
      </c>
      <c r="BM13" s="232">
        <f t="shared" si="33"/>
        <v>716.3827</v>
      </c>
      <c r="BN13" s="232">
        <f t="shared" si="34"/>
        <v>0</v>
      </c>
      <c r="BO13" s="232">
        <f t="shared" si="35"/>
        <v>656.78067</v>
      </c>
      <c r="BP13" s="326">
        <f t="shared" si="36"/>
        <v>57.30177999999995</v>
      </c>
      <c r="BQ13" s="317">
        <f t="shared" si="37"/>
        <v>0</v>
      </c>
      <c r="BR13" s="317">
        <f t="shared" si="38"/>
        <v>27.81093999999996</v>
      </c>
      <c r="BS13" s="317">
        <f t="shared" si="39"/>
        <v>0</v>
      </c>
      <c r="BT13" s="317">
        <f t="shared" si="40"/>
        <v>29.49083999999999</v>
      </c>
      <c r="BU13" s="229">
        <v>1</v>
      </c>
      <c r="BV13" s="305"/>
      <c r="BW13" s="331" t="s">
        <v>231</v>
      </c>
      <c r="BY13" s="232">
        <v>57.3</v>
      </c>
      <c r="BZ13" s="232">
        <v>1</v>
      </c>
      <c r="CA13" s="317"/>
      <c r="CB13" s="232"/>
      <c r="CC13" s="232"/>
    </row>
    <row r="14" spans="1:81" s="229" customFormat="1" ht="15" customHeight="1">
      <c r="A14" s="230">
        <v>6</v>
      </c>
      <c r="B14" s="239" t="s">
        <v>54</v>
      </c>
      <c r="C14" s="232">
        <f t="shared" si="13"/>
        <v>536.095</v>
      </c>
      <c r="D14" s="233"/>
      <c r="E14" s="232">
        <f t="shared" si="14"/>
        <v>536.095</v>
      </c>
      <c r="F14" s="233"/>
      <c r="G14" s="232"/>
      <c r="H14" s="232">
        <f t="shared" si="15"/>
        <v>635.8670000000001</v>
      </c>
      <c r="I14" s="233"/>
      <c r="J14" s="232">
        <f t="shared" si="16"/>
        <v>536.095</v>
      </c>
      <c r="K14" s="232">
        <f t="shared" si="17"/>
        <v>99.772</v>
      </c>
      <c r="L14" s="240"/>
      <c r="M14" s="232">
        <f t="shared" si="18"/>
        <v>536.095</v>
      </c>
      <c r="N14" s="232"/>
      <c r="O14" s="232">
        <v>536.095</v>
      </c>
      <c r="P14" s="232"/>
      <c r="Q14" s="232"/>
      <c r="R14" s="234">
        <f t="shared" si="19"/>
        <v>536.095</v>
      </c>
      <c r="S14" s="232"/>
      <c r="T14" s="232">
        <f>287.05+249.045</f>
        <v>536.095</v>
      </c>
      <c r="U14" s="232"/>
      <c r="V14" s="235"/>
      <c r="W14" s="232">
        <f t="shared" si="20"/>
        <v>0</v>
      </c>
      <c r="X14" s="232">
        <f t="shared" si="21"/>
        <v>0</v>
      </c>
      <c r="Y14" s="232">
        <f t="shared" si="21"/>
        <v>0</v>
      </c>
      <c r="Z14" s="232">
        <f t="shared" si="21"/>
        <v>0</v>
      </c>
      <c r="AA14" s="232">
        <f t="shared" si="21"/>
        <v>0</v>
      </c>
      <c r="AB14" s="232">
        <f t="shared" si="22"/>
        <v>536.095</v>
      </c>
      <c r="AC14" s="232"/>
      <c r="AD14" s="232">
        <f t="shared" si="23"/>
        <v>536.095</v>
      </c>
      <c r="AE14" s="232">
        <f t="shared" si="23"/>
        <v>0</v>
      </c>
      <c r="AF14" s="232">
        <f t="shared" si="23"/>
        <v>0</v>
      </c>
      <c r="AG14" s="232">
        <f t="shared" si="24"/>
        <v>0</v>
      </c>
      <c r="AH14" s="232"/>
      <c r="AI14" s="232"/>
      <c r="AJ14" s="232"/>
      <c r="AK14" s="236"/>
      <c r="AL14" s="234">
        <f t="shared" si="25"/>
        <v>536.095</v>
      </c>
      <c r="AM14" s="232"/>
      <c r="AN14" s="232">
        <f t="shared" si="26"/>
        <v>536.095</v>
      </c>
      <c r="AO14" s="232">
        <f t="shared" si="26"/>
        <v>0</v>
      </c>
      <c r="AP14" s="235">
        <f t="shared" si="26"/>
        <v>0</v>
      </c>
      <c r="AQ14" s="232">
        <f t="shared" si="27"/>
        <v>536.095</v>
      </c>
      <c r="AR14" s="232"/>
      <c r="AS14" s="232">
        <f>287.05+249.045</f>
        <v>536.095</v>
      </c>
      <c r="AT14" s="232"/>
      <c r="AU14" s="232"/>
      <c r="AV14" s="232">
        <f t="shared" si="28"/>
        <v>536.095</v>
      </c>
      <c r="AW14" s="232"/>
      <c r="AX14" s="232">
        <f>287.05+249.045</f>
        <v>536.095</v>
      </c>
      <c r="AY14" s="232"/>
      <c r="AZ14" s="232"/>
      <c r="BA14" s="232">
        <f t="shared" si="29"/>
        <v>99.772</v>
      </c>
      <c r="BB14" s="232"/>
      <c r="BC14" s="232">
        <v>99.772</v>
      </c>
      <c r="BD14" s="232"/>
      <c r="BE14" s="232"/>
      <c r="BF14" s="232">
        <f t="shared" si="30"/>
        <v>99.772</v>
      </c>
      <c r="BG14" s="232"/>
      <c r="BH14" s="232">
        <v>99.772</v>
      </c>
      <c r="BI14" s="232"/>
      <c r="BJ14" s="232"/>
      <c r="BK14" s="232">
        <f t="shared" si="31"/>
        <v>635.8670000000001</v>
      </c>
      <c r="BL14" s="232">
        <f t="shared" si="32"/>
        <v>0</v>
      </c>
      <c r="BM14" s="232">
        <f t="shared" si="33"/>
        <v>635.8670000000001</v>
      </c>
      <c r="BN14" s="232">
        <f t="shared" si="34"/>
        <v>0</v>
      </c>
      <c r="BO14" s="232">
        <f t="shared" si="35"/>
        <v>0</v>
      </c>
      <c r="BP14" s="316">
        <f t="shared" si="36"/>
        <v>0</v>
      </c>
      <c r="BQ14" s="317">
        <f t="shared" si="37"/>
        <v>0</v>
      </c>
      <c r="BR14" s="317">
        <f t="shared" si="38"/>
        <v>0</v>
      </c>
      <c r="BS14" s="317">
        <f t="shared" si="39"/>
        <v>0</v>
      </c>
      <c r="BT14" s="317">
        <f t="shared" si="40"/>
        <v>0</v>
      </c>
      <c r="BU14" s="229">
        <v>1</v>
      </c>
      <c r="BV14" s="305"/>
      <c r="BW14" s="331" t="s">
        <v>228</v>
      </c>
      <c r="BY14" s="232"/>
      <c r="BZ14" s="232">
        <v>1</v>
      </c>
      <c r="CA14" s="317"/>
      <c r="CB14" s="232"/>
      <c r="CC14" s="232"/>
    </row>
    <row r="15" spans="1:81" s="229" customFormat="1" ht="15" customHeight="1">
      <c r="A15" s="230">
        <v>7</v>
      </c>
      <c r="B15" s="239" t="s">
        <v>55</v>
      </c>
      <c r="C15" s="232">
        <f t="shared" si="13"/>
        <v>1739.043</v>
      </c>
      <c r="D15" s="233"/>
      <c r="E15" s="232">
        <f t="shared" si="14"/>
        <v>1739.043</v>
      </c>
      <c r="F15" s="233"/>
      <c r="G15" s="232"/>
      <c r="H15" s="232">
        <f t="shared" si="15"/>
        <v>1985.77542</v>
      </c>
      <c r="I15" s="233"/>
      <c r="J15" s="232">
        <f t="shared" si="16"/>
        <v>1739.043</v>
      </c>
      <c r="K15" s="232">
        <f t="shared" si="17"/>
        <v>246.73242</v>
      </c>
      <c r="L15" s="240"/>
      <c r="M15" s="232">
        <f t="shared" si="18"/>
        <v>1739.043</v>
      </c>
      <c r="N15" s="232"/>
      <c r="O15" s="232">
        <v>1739.043</v>
      </c>
      <c r="P15" s="232"/>
      <c r="Q15" s="232"/>
      <c r="R15" s="234">
        <f t="shared" si="19"/>
        <v>1739.043</v>
      </c>
      <c r="S15" s="232"/>
      <c r="T15" s="232">
        <v>1739.043</v>
      </c>
      <c r="U15" s="232"/>
      <c r="V15" s="235"/>
      <c r="W15" s="232">
        <f t="shared" si="20"/>
        <v>0</v>
      </c>
      <c r="X15" s="232">
        <f t="shared" si="21"/>
        <v>0</v>
      </c>
      <c r="Y15" s="232">
        <f t="shared" si="21"/>
        <v>0</v>
      </c>
      <c r="Z15" s="232">
        <f t="shared" si="21"/>
        <v>0</v>
      </c>
      <c r="AA15" s="232">
        <f t="shared" si="21"/>
        <v>0</v>
      </c>
      <c r="AB15" s="232">
        <f t="shared" si="22"/>
        <v>1739.043</v>
      </c>
      <c r="AC15" s="232"/>
      <c r="AD15" s="232">
        <f t="shared" si="23"/>
        <v>1739.043</v>
      </c>
      <c r="AE15" s="232">
        <f t="shared" si="23"/>
        <v>0</v>
      </c>
      <c r="AF15" s="232">
        <f t="shared" si="23"/>
        <v>0</v>
      </c>
      <c r="AG15" s="232">
        <f t="shared" si="24"/>
        <v>0</v>
      </c>
      <c r="AH15" s="232"/>
      <c r="AI15" s="232"/>
      <c r="AJ15" s="232"/>
      <c r="AK15" s="236"/>
      <c r="AL15" s="234">
        <f t="shared" si="25"/>
        <v>1739.043</v>
      </c>
      <c r="AM15" s="232"/>
      <c r="AN15" s="232">
        <f t="shared" si="26"/>
        <v>1739.043</v>
      </c>
      <c r="AO15" s="232">
        <f t="shared" si="26"/>
        <v>0</v>
      </c>
      <c r="AP15" s="235">
        <f t="shared" si="26"/>
        <v>0</v>
      </c>
      <c r="AQ15" s="232">
        <f t="shared" si="27"/>
        <v>1739.043</v>
      </c>
      <c r="AR15" s="232"/>
      <c r="AS15" s="232">
        <v>1739.043</v>
      </c>
      <c r="AT15" s="232"/>
      <c r="AU15" s="232"/>
      <c r="AV15" s="232">
        <f t="shared" si="28"/>
        <v>1739.043</v>
      </c>
      <c r="AW15" s="232"/>
      <c r="AX15" s="232">
        <v>1739.043</v>
      </c>
      <c r="AY15" s="232"/>
      <c r="AZ15" s="232"/>
      <c r="BA15" s="232">
        <f t="shared" si="29"/>
        <v>246.73242</v>
      </c>
      <c r="BB15" s="232"/>
      <c r="BC15" s="232">
        <v>246.73242</v>
      </c>
      <c r="BD15" s="232"/>
      <c r="BE15" s="232"/>
      <c r="BF15" s="232">
        <f t="shared" si="30"/>
        <v>246.73242</v>
      </c>
      <c r="BG15" s="232"/>
      <c r="BH15" s="232">
        <v>246.73242</v>
      </c>
      <c r="BI15" s="232"/>
      <c r="BJ15" s="232"/>
      <c r="BK15" s="232">
        <f t="shared" si="31"/>
        <v>1985.77542</v>
      </c>
      <c r="BL15" s="232">
        <f t="shared" si="32"/>
        <v>0</v>
      </c>
      <c r="BM15" s="232">
        <f t="shared" si="33"/>
        <v>1985.77542</v>
      </c>
      <c r="BN15" s="232">
        <f t="shared" si="34"/>
        <v>0</v>
      </c>
      <c r="BO15" s="232">
        <f t="shared" si="35"/>
        <v>0</v>
      </c>
      <c r="BP15" s="316">
        <f t="shared" si="36"/>
        <v>0</v>
      </c>
      <c r="BQ15" s="317">
        <f t="shared" si="37"/>
        <v>0</v>
      </c>
      <c r="BR15" s="317">
        <f t="shared" si="38"/>
        <v>0</v>
      </c>
      <c r="BS15" s="317">
        <f t="shared" si="39"/>
        <v>0</v>
      </c>
      <c r="BT15" s="317">
        <f t="shared" si="40"/>
        <v>0</v>
      </c>
      <c r="BU15" s="229">
        <v>1</v>
      </c>
      <c r="BV15" s="305"/>
      <c r="BW15" s="331" t="s">
        <v>228</v>
      </c>
      <c r="BY15" s="232"/>
      <c r="BZ15" s="232">
        <v>1</v>
      </c>
      <c r="CA15" s="317"/>
      <c r="CB15" s="232"/>
      <c r="CC15" s="232"/>
    </row>
    <row r="16" spans="1:81" s="229" customFormat="1" ht="15" customHeight="1">
      <c r="A16" s="230">
        <v>8</v>
      </c>
      <c r="B16" s="239" t="s">
        <v>56</v>
      </c>
      <c r="C16" s="232">
        <f t="shared" si="13"/>
        <v>11566.322</v>
      </c>
      <c r="D16" s="233"/>
      <c r="E16" s="232">
        <f t="shared" si="14"/>
        <v>11566.322</v>
      </c>
      <c r="F16" s="233"/>
      <c r="G16" s="232"/>
      <c r="H16" s="232">
        <f t="shared" si="15"/>
        <v>12203.232</v>
      </c>
      <c r="I16" s="233"/>
      <c r="J16" s="232">
        <f t="shared" si="16"/>
        <v>11566.322</v>
      </c>
      <c r="K16" s="232">
        <f t="shared" si="17"/>
        <v>636.91</v>
      </c>
      <c r="L16" s="240"/>
      <c r="M16" s="232">
        <f t="shared" si="18"/>
        <v>11566.322</v>
      </c>
      <c r="N16" s="232"/>
      <c r="O16" s="232">
        <v>6566.322</v>
      </c>
      <c r="P16" s="232">
        <f>24000-19000</f>
        <v>5000</v>
      </c>
      <c r="Q16" s="232"/>
      <c r="R16" s="234">
        <f t="shared" si="19"/>
        <v>11566.322</v>
      </c>
      <c r="S16" s="232"/>
      <c r="T16" s="232">
        <v>6566.322</v>
      </c>
      <c r="U16" s="232">
        <v>5000</v>
      </c>
      <c r="V16" s="235"/>
      <c r="W16" s="232">
        <f t="shared" si="20"/>
        <v>0</v>
      </c>
      <c r="X16" s="232">
        <f t="shared" si="21"/>
        <v>0</v>
      </c>
      <c r="Y16" s="232">
        <f t="shared" si="21"/>
        <v>0</v>
      </c>
      <c r="Z16" s="232">
        <f t="shared" si="21"/>
        <v>0</v>
      </c>
      <c r="AA16" s="232">
        <f t="shared" si="21"/>
        <v>0</v>
      </c>
      <c r="AB16" s="232">
        <f t="shared" si="22"/>
        <v>11566.322</v>
      </c>
      <c r="AC16" s="232"/>
      <c r="AD16" s="232">
        <f t="shared" si="23"/>
        <v>6566.322</v>
      </c>
      <c r="AE16" s="232">
        <f t="shared" si="23"/>
        <v>5000</v>
      </c>
      <c r="AF16" s="232">
        <f t="shared" si="23"/>
        <v>0</v>
      </c>
      <c r="AG16" s="232">
        <f t="shared" si="24"/>
        <v>0</v>
      </c>
      <c r="AH16" s="232"/>
      <c r="AI16" s="232"/>
      <c r="AJ16" s="232"/>
      <c r="AK16" s="236"/>
      <c r="AL16" s="234">
        <f t="shared" si="25"/>
        <v>11566.322</v>
      </c>
      <c r="AM16" s="232"/>
      <c r="AN16" s="232">
        <f t="shared" si="26"/>
        <v>6566.322</v>
      </c>
      <c r="AO16" s="232">
        <f t="shared" si="26"/>
        <v>5000</v>
      </c>
      <c r="AP16" s="235">
        <f t="shared" si="26"/>
        <v>0</v>
      </c>
      <c r="AQ16" s="232">
        <f t="shared" si="27"/>
        <v>6566.322</v>
      </c>
      <c r="AR16" s="232"/>
      <c r="AS16" s="232">
        <f>5806.2+760.122</f>
        <v>6566.322</v>
      </c>
      <c r="AT16" s="232"/>
      <c r="AU16" s="232"/>
      <c r="AV16" s="232">
        <f t="shared" si="28"/>
        <v>6566.322</v>
      </c>
      <c r="AW16" s="232"/>
      <c r="AX16" s="232">
        <f>5806.2+760.122</f>
        <v>6566.322</v>
      </c>
      <c r="AY16" s="232"/>
      <c r="AZ16" s="232"/>
      <c r="BA16" s="232">
        <f t="shared" si="29"/>
        <v>636.91</v>
      </c>
      <c r="BB16" s="232"/>
      <c r="BC16" s="232">
        <f>237.607+399.303</f>
        <v>636.91</v>
      </c>
      <c r="BD16" s="232"/>
      <c r="BE16" s="232"/>
      <c r="BF16" s="232">
        <f t="shared" si="30"/>
        <v>636.91</v>
      </c>
      <c r="BG16" s="232"/>
      <c r="BH16" s="232">
        <f>237.607+399.303</f>
        <v>636.91</v>
      </c>
      <c r="BI16" s="232"/>
      <c r="BJ16" s="232"/>
      <c r="BK16" s="232">
        <f t="shared" si="31"/>
        <v>7203.232</v>
      </c>
      <c r="BL16" s="232">
        <f t="shared" si="32"/>
        <v>0</v>
      </c>
      <c r="BM16" s="232">
        <f t="shared" si="33"/>
        <v>7203.232</v>
      </c>
      <c r="BN16" s="232">
        <f t="shared" si="34"/>
        <v>0</v>
      </c>
      <c r="BO16" s="232">
        <f t="shared" si="35"/>
        <v>0</v>
      </c>
      <c r="BP16" s="316">
        <f t="shared" si="36"/>
        <v>5000</v>
      </c>
      <c r="BQ16" s="317">
        <f t="shared" si="37"/>
        <v>0</v>
      </c>
      <c r="BR16" s="317">
        <f t="shared" si="38"/>
        <v>0</v>
      </c>
      <c r="BS16" s="317">
        <f t="shared" si="39"/>
        <v>5000</v>
      </c>
      <c r="BT16" s="317">
        <f t="shared" si="40"/>
        <v>0</v>
      </c>
      <c r="BV16" s="305">
        <v>1</v>
      </c>
      <c r="BW16" s="332" t="s">
        <v>229</v>
      </c>
      <c r="BY16" s="232"/>
      <c r="BZ16" s="232"/>
      <c r="CA16" s="317">
        <v>1</v>
      </c>
      <c r="CB16" s="232"/>
      <c r="CC16" s="232"/>
    </row>
    <row r="17" spans="1:81" s="229" customFormat="1" ht="19.5" customHeight="1">
      <c r="A17" s="230">
        <v>9</v>
      </c>
      <c r="B17" s="239" t="s">
        <v>57</v>
      </c>
      <c r="C17" s="232">
        <f t="shared" si="13"/>
        <v>1007.507</v>
      </c>
      <c r="D17" s="233"/>
      <c r="E17" s="232">
        <f t="shared" si="14"/>
        <v>1007.507</v>
      </c>
      <c r="F17" s="233"/>
      <c r="G17" s="232"/>
      <c r="H17" s="232">
        <f t="shared" si="15"/>
        <v>1060.692</v>
      </c>
      <c r="I17" s="233"/>
      <c r="J17" s="232">
        <f t="shared" si="16"/>
        <v>1007.507</v>
      </c>
      <c r="K17" s="232">
        <f t="shared" si="17"/>
        <v>53.185</v>
      </c>
      <c r="L17" s="240"/>
      <c r="M17" s="232">
        <f t="shared" si="18"/>
        <v>1007.507</v>
      </c>
      <c r="N17" s="232"/>
      <c r="O17" s="232">
        <v>1007.507</v>
      </c>
      <c r="P17" s="232"/>
      <c r="Q17" s="232"/>
      <c r="R17" s="234">
        <f t="shared" si="19"/>
        <v>1007.507</v>
      </c>
      <c r="S17" s="232"/>
      <c r="T17" s="232">
        <v>1007.507</v>
      </c>
      <c r="U17" s="232"/>
      <c r="V17" s="235"/>
      <c r="W17" s="232">
        <f t="shared" si="20"/>
        <v>0</v>
      </c>
      <c r="X17" s="232">
        <f t="shared" si="21"/>
        <v>0</v>
      </c>
      <c r="Y17" s="232">
        <f t="shared" si="21"/>
        <v>0</v>
      </c>
      <c r="Z17" s="232">
        <f t="shared" si="21"/>
        <v>0</v>
      </c>
      <c r="AA17" s="232">
        <f t="shared" si="21"/>
        <v>0</v>
      </c>
      <c r="AB17" s="232">
        <f t="shared" si="22"/>
        <v>1007.507</v>
      </c>
      <c r="AC17" s="232"/>
      <c r="AD17" s="232">
        <f t="shared" si="23"/>
        <v>1007.507</v>
      </c>
      <c r="AE17" s="232">
        <f t="shared" si="23"/>
        <v>0</v>
      </c>
      <c r="AF17" s="232">
        <f t="shared" si="23"/>
        <v>0</v>
      </c>
      <c r="AG17" s="232">
        <f t="shared" si="24"/>
        <v>0</v>
      </c>
      <c r="AH17" s="232"/>
      <c r="AI17" s="232"/>
      <c r="AJ17" s="232"/>
      <c r="AK17" s="236"/>
      <c r="AL17" s="234">
        <f t="shared" si="25"/>
        <v>1007.507</v>
      </c>
      <c r="AM17" s="232"/>
      <c r="AN17" s="232">
        <f t="shared" si="26"/>
        <v>1007.507</v>
      </c>
      <c r="AO17" s="232">
        <f t="shared" si="26"/>
        <v>0</v>
      </c>
      <c r="AP17" s="235">
        <f t="shared" si="26"/>
        <v>0</v>
      </c>
      <c r="AQ17" s="232">
        <f t="shared" si="27"/>
        <v>975.68624</v>
      </c>
      <c r="AR17" s="232"/>
      <c r="AS17" s="232">
        <f>975.68624</f>
        <v>975.68624</v>
      </c>
      <c r="AT17" s="232"/>
      <c r="AU17" s="232"/>
      <c r="AV17" s="232">
        <f t="shared" si="28"/>
        <v>975.68624</v>
      </c>
      <c r="AW17" s="232"/>
      <c r="AX17" s="232">
        <f>975.68624</f>
        <v>975.68624</v>
      </c>
      <c r="AY17" s="232"/>
      <c r="AZ17" s="232"/>
      <c r="BA17" s="232">
        <f t="shared" si="29"/>
        <v>53.185</v>
      </c>
      <c r="BB17" s="232"/>
      <c r="BC17" s="232">
        <v>53.185</v>
      </c>
      <c r="BD17" s="232"/>
      <c r="BE17" s="232"/>
      <c r="BF17" s="232">
        <f t="shared" si="30"/>
        <v>53.185</v>
      </c>
      <c r="BG17" s="232"/>
      <c r="BH17" s="232">
        <v>53.185</v>
      </c>
      <c r="BI17" s="232"/>
      <c r="BJ17" s="232"/>
      <c r="BK17" s="232">
        <f t="shared" si="31"/>
        <v>1028.87124</v>
      </c>
      <c r="BL17" s="232">
        <f t="shared" si="32"/>
        <v>0</v>
      </c>
      <c r="BM17" s="232">
        <f t="shared" si="33"/>
        <v>1028.87124</v>
      </c>
      <c r="BN17" s="232">
        <f t="shared" si="34"/>
        <v>0</v>
      </c>
      <c r="BO17" s="232">
        <f t="shared" si="35"/>
        <v>0</v>
      </c>
      <c r="BP17" s="316">
        <f t="shared" si="36"/>
        <v>31.82075999999995</v>
      </c>
      <c r="BQ17" s="317">
        <f t="shared" si="37"/>
        <v>0</v>
      </c>
      <c r="BR17" s="317">
        <f t="shared" si="38"/>
        <v>31.82075999999995</v>
      </c>
      <c r="BS17" s="317">
        <f t="shared" si="39"/>
        <v>0</v>
      </c>
      <c r="BT17" s="317">
        <f t="shared" si="40"/>
        <v>0</v>
      </c>
      <c r="BU17" s="229">
        <v>1</v>
      </c>
      <c r="BV17" s="305"/>
      <c r="BW17" s="331" t="s">
        <v>271</v>
      </c>
      <c r="BY17" s="232">
        <v>31.8</v>
      </c>
      <c r="BZ17" s="232">
        <v>1</v>
      </c>
      <c r="CA17" s="317"/>
      <c r="CB17" s="232"/>
      <c r="CC17" s="232"/>
    </row>
    <row r="18" spans="1:81" s="229" customFormat="1" ht="15" customHeight="1">
      <c r="A18" s="230">
        <v>10</v>
      </c>
      <c r="B18" s="239" t="s">
        <v>58</v>
      </c>
      <c r="C18" s="232">
        <f t="shared" si="13"/>
        <v>359.857</v>
      </c>
      <c r="D18" s="233"/>
      <c r="E18" s="232">
        <f t="shared" si="14"/>
        <v>359.857</v>
      </c>
      <c r="F18" s="233"/>
      <c r="G18" s="232"/>
      <c r="H18" s="232">
        <f t="shared" si="15"/>
        <v>653.929</v>
      </c>
      <c r="I18" s="233"/>
      <c r="J18" s="232">
        <f t="shared" si="16"/>
        <v>359.85699999999997</v>
      </c>
      <c r="K18" s="232">
        <f t="shared" si="17"/>
        <v>294.072</v>
      </c>
      <c r="L18" s="240"/>
      <c r="M18" s="232">
        <f t="shared" si="18"/>
        <v>359.857</v>
      </c>
      <c r="N18" s="232"/>
      <c r="O18" s="232">
        <v>359.857</v>
      </c>
      <c r="P18" s="232"/>
      <c r="Q18" s="232"/>
      <c r="R18" s="234">
        <f t="shared" si="19"/>
        <v>359.85699999999997</v>
      </c>
      <c r="S18" s="232"/>
      <c r="T18" s="232">
        <f>192.684+167.173</f>
        <v>359.85699999999997</v>
      </c>
      <c r="U18" s="232"/>
      <c r="V18" s="235"/>
      <c r="W18" s="232">
        <f t="shared" si="20"/>
        <v>0</v>
      </c>
      <c r="X18" s="232">
        <f t="shared" si="21"/>
        <v>0</v>
      </c>
      <c r="Y18" s="232">
        <f t="shared" si="21"/>
        <v>0</v>
      </c>
      <c r="Z18" s="232">
        <f t="shared" si="21"/>
        <v>0</v>
      </c>
      <c r="AA18" s="232">
        <f t="shared" si="21"/>
        <v>0</v>
      </c>
      <c r="AB18" s="232">
        <f t="shared" si="22"/>
        <v>359.85699999999997</v>
      </c>
      <c r="AC18" s="232"/>
      <c r="AD18" s="232">
        <f t="shared" si="23"/>
        <v>359.85699999999997</v>
      </c>
      <c r="AE18" s="232">
        <f t="shared" si="23"/>
        <v>0</v>
      </c>
      <c r="AF18" s="232">
        <f t="shared" si="23"/>
        <v>0</v>
      </c>
      <c r="AG18" s="232">
        <f t="shared" si="24"/>
        <v>0</v>
      </c>
      <c r="AH18" s="232"/>
      <c r="AI18" s="232"/>
      <c r="AJ18" s="232"/>
      <c r="AK18" s="236"/>
      <c r="AL18" s="234">
        <f t="shared" si="25"/>
        <v>359.85699999999997</v>
      </c>
      <c r="AM18" s="232"/>
      <c r="AN18" s="232">
        <f t="shared" si="26"/>
        <v>359.85699999999997</v>
      </c>
      <c r="AO18" s="232">
        <f t="shared" si="26"/>
        <v>0</v>
      </c>
      <c r="AP18" s="235">
        <f t="shared" si="26"/>
        <v>0</v>
      </c>
      <c r="AQ18" s="232">
        <f t="shared" si="27"/>
        <v>359.85699999999997</v>
      </c>
      <c r="AR18" s="232"/>
      <c r="AS18" s="232">
        <v>359.85699999999997</v>
      </c>
      <c r="AT18" s="232"/>
      <c r="AU18" s="232"/>
      <c r="AV18" s="232">
        <f t="shared" si="28"/>
        <v>359.85699999999997</v>
      </c>
      <c r="AW18" s="232"/>
      <c r="AX18" s="232">
        <v>359.85699999999997</v>
      </c>
      <c r="AY18" s="232"/>
      <c r="AZ18" s="232"/>
      <c r="BA18" s="232">
        <f t="shared" si="29"/>
        <v>294.072</v>
      </c>
      <c r="BB18" s="232"/>
      <c r="BC18" s="232">
        <v>294.072</v>
      </c>
      <c r="BD18" s="232"/>
      <c r="BE18" s="232"/>
      <c r="BF18" s="232">
        <f t="shared" si="30"/>
        <v>294.072</v>
      </c>
      <c r="BG18" s="232"/>
      <c r="BH18" s="232">
        <v>294.072</v>
      </c>
      <c r="BI18" s="232"/>
      <c r="BJ18" s="232"/>
      <c r="BK18" s="232">
        <f t="shared" si="31"/>
        <v>653.929</v>
      </c>
      <c r="BL18" s="232">
        <f t="shared" si="32"/>
        <v>0</v>
      </c>
      <c r="BM18" s="232">
        <f t="shared" si="33"/>
        <v>653.929</v>
      </c>
      <c r="BN18" s="232">
        <f t="shared" si="34"/>
        <v>0</v>
      </c>
      <c r="BO18" s="232">
        <f t="shared" si="35"/>
        <v>0</v>
      </c>
      <c r="BP18" s="316">
        <f t="shared" si="36"/>
        <v>0</v>
      </c>
      <c r="BQ18" s="317">
        <f t="shared" si="37"/>
        <v>0</v>
      </c>
      <c r="BR18" s="317">
        <f t="shared" si="38"/>
        <v>0</v>
      </c>
      <c r="BS18" s="317">
        <f t="shared" si="39"/>
        <v>0</v>
      </c>
      <c r="BT18" s="317">
        <f t="shared" si="40"/>
        <v>0</v>
      </c>
      <c r="BU18" s="229">
        <v>1</v>
      </c>
      <c r="BV18" s="305"/>
      <c r="BW18" s="331" t="s">
        <v>228</v>
      </c>
      <c r="BY18" s="232"/>
      <c r="BZ18" s="232">
        <v>1</v>
      </c>
      <c r="CA18" s="317"/>
      <c r="CB18" s="232"/>
      <c r="CC18" s="232"/>
    </row>
    <row r="19" spans="1:81" s="229" customFormat="1" ht="24" customHeight="1">
      <c r="A19" s="230">
        <v>11</v>
      </c>
      <c r="B19" s="239" t="s">
        <v>59</v>
      </c>
      <c r="C19" s="232">
        <f t="shared" si="13"/>
        <v>1424.354</v>
      </c>
      <c r="D19" s="233"/>
      <c r="E19" s="232">
        <f t="shared" si="14"/>
        <v>1424.354</v>
      </c>
      <c r="F19" s="233"/>
      <c r="G19" s="232"/>
      <c r="H19" s="232">
        <f t="shared" si="15"/>
        <v>1542.95183</v>
      </c>
      <c r="I19" s="233"/>
      <c r="J19" s="232">
        <f t="shared" si="16"/>
        <v>1424.354</v>
      </c>
      <c r="K19" s="232">
        <f t="shared" si="17"/>
        <v>118.59783</v>
      </c>
      <c r="L19" s="240"/>
      <c r="M19" s="232">
        <f t="shared" si="18"/>
        <v>1424.354</v>
      </c>
      <c r="N19" s="232"/>
      <c r="O19" s="232">
        <v>1424.354</v>
      </c>
      <c r="P19" s="232"/>
      <c r="Q19" s="232"/>
      <c r="R19" s="234">
        <f t="shared" si="19"/>
        <v>1424.354</v>
      </c>
      <c r="S19" s="232"/>
      <c r="T19" s="232">
        <v>1424.354</v>
      </c>
      <c r="U19" s="232"/>
      <c r="V19" s="235"/>
      <c r="W19" s="232">
        <f t="shared" si="20"/>
        <v>0</v>
      </c>
      <c r="X19" s="232">
        <f t="shared" si="21"/>
        <v>0</v>
      </c>
      <c r="Y19" s="232">
        <f t="shared" si="21"/>
        <v>0</v>
      </c>
      <c r="Z19" s="232">
        <f t="shared" si="21"/>
        <v>0</v>
      </c>
      <c r="AA19" s="232">
        <f t="shared" si="21"/>
        <v>0</v>
      </c>
      <c r="AB19" s="232">
        <f t="shared" si="22"/>
        <v>1424.354</v>
      </c>
      <c r="AC19" s="232"/>
      <c r="AD19" s="232">
        <f t="shared" si="23"/>
        <v>1424.354</v>
      </c>
      <c r="AE19" s="232">
        <f t="shared" si="23"/>
        <v>0</v>
      </c>
      <c r="AF19" s="232">
        <f t="shared" si="23"/>
        <v>0</v>
      </c>
      <c r="AG19" s="232">
        <f t="shared" si="24"/>
        <v>0</v>
      </c>
      <c r="AH19" s="232"/>
      <c r="AI19" s="232"/>
      <c r="AJ19" s="232"/>
      <c r="AK19" s="236"/>
      <c r="AL19" s="234">
        <f t="shared" si="25"/>
        <v>1424.354</v>
      </c>
      <c r="AM19" s="232"/>
      <c r="AN19" s="232">
        <f t="shared" si="26"/>
        <v>1424.354</v>
      </c>
      <c r="AO19" s="232">
        <f t="shared" si="26"/>
        <v>0</v>
      </c>
      <c r="AP19" s="235">
        <f t="shared" si="26"/>
        <v>0</v>
      </c>
      <c r="AQ19" s="232">
        <f t="shared" si="27"/>
        <v>1305.979</v>
      </c>
      <c r="AR19" s="232"/>
      <c r="AS19" s="232">
        <f>577.03+228.316+500.633</f>
        <v>1305.979</v>
      </c>
      <c r="AT19" s="232"/>
      <c r="AU19" s="232"/>
      <c r="AV19" s="232">
        <f t="shared" si="28"/>
        <v>1305.979</v>
      </c>
      <c r="AW19" s="232"/>
      <c r="AX19" s="232">
        <f>577.03+228.316+500.633</f>
        <v>1305.979</v>
      </c>
      <c r="AY19" s="232"/>
      <c r="AZ19" s="232"/>
      <c r="BA19" s="232">
        <f t="shared" si="29"/>
        <v>118.59783</v>
      </c>
      <c r="BB19" s="232"/>
      <c r="BC19" s="232">
        <v>118.59783</v>
      </c>
      <c r="BD19" s="232"/>
      <c r="BE19" s="232"/>
      <c r="BF19" s="232">
        <f t="shared" si="30"/>
        <v>118.59783</v>
      </c>
      <c r="BG19" s="232"/>
      <c r="BH19" s="232">
        <v>118.59783</v>
      </c>
      <c r="BI19" s="232"/>
      <c r="BJ19" s="232"/>
      <c r="BK19" s="232">
        <f t="shared" si="31"/>
        <v>1424.57683</v>
      </c>
      <c r="BL19" s="232">
        <f t="shared" si="32"/>
        <v>0</v>
      </c>
      <c r="BM19" s="232">
        <f t="shared" si="33"/>
        <v>1424.57683</v>
      </c>
      <c r="BN19" s="232">
        <f t="shared" si="34"/>
        <v>0</v>
      </c>
      <c r="BO19" s="232">
        <f t="shared" si="35"/>
        <v>0</v>
      </c>
      <c r="BP19" s="316">
        <f t="shared" si="36"/>
        <v>118.375</v>
      </c>
      <c r="BQ19" s="317">
        <f t="shared" si="37"/>
        <v>0</v>
      </c>
      <c r="BR19" s="317">
        <f t="shared" si="38"/>
        <v>118.375</v>
      </c>
      <c r="BS19" s="317">
        <f t="shared" si="39"/>
        <v>0</v>
      </c>
      <c r="BT19" s="317">
        <f t="shared" si="40"/>
        <v>0</v>
      </c>
      <c r="BU19" s="229">
        <v>1</v>
      </c>
      <c r="BV19" s="305"/>
      <c r="BW19" s="331" t="s">
        <v>272</v>
      </c>
      <c r="BY19" s="232">
        <v>118.4</v>
      </c>
      <c r="BZ19" s="232">
        <v>1</v>
      </c>
      <c r="CA19" s="317"/>
      <c r="CB19" s="232"/>
      <c r="CC19" s="232"/>
    </row>
    <row r="20" spans="1:81" s="229" customFormat="1" ht="20.25" customHeight="1">
      <c r="A20" s="230">
        <v>12</v>
      </c>
      <c r="B20" s="239" t="s">
        <v>60</v>
      </c>
      <c r="C20" s="232">
        <f t="shared" si="13"/>
        <v>1243.058</v>
      </c>
      <c r="D20" s="233"/>
      <c r="E20" s="232">
        <f t="shared" si="14"/>
        <v>1243.058</v>
      </c>
      <c r="F20" s="233"/>
      <c r="G20" s="232"/>
      <c r="H20" s="232">
        <f t="shared" si="15"/>
        <v>1300.5599</v>
      </c>
      <c r="I20" s="233"/>
      <c r="J20" s="232">
        <f t="shared" si="16"/>
        <v>1243.058</v>
      </c>
      <c r="K20" s="232">
        <f t="shared" si="17"/>
        <v>57.5019</v>
      </c>
      <c r="L20" s="240"/>
      <c r="M20" s="232">
        <f t="shared" si="18"/>
        <v>1243.058</v>
      </c>
      <c r="N20" s="232"/>
      <c r="O20" s="232">
        <v>1243.058</v>
      </c>
      <c r="P20" s="232"/>
      <c r="Q20" s="232"/>
      <c r="R20" s="234">
        <f t="shared" si="19"/>
        <v>1243.058</v>
      </c>
      <c r="S20" s="232"/>
      <c r="T20" s="232">
        <v>1243.058</v>
      </c>
      <c r="U20" s="232"/>
      <c r="V20" s="235"/>
      <c r="W20" s="232">
        <f t="shared" si="20"/>
        <v>0</v>
      </c>
      <c r="X20" s="232">
        <f t="shared" si="21"/>
        <v>0</v>
      </c>
      <c r="Y20" s="232">
        <f t="shared" si="21"/>
        <v>0</v>
      </c>
      <c r="Z20" s="232">
        <f t="shared" si="21"/>
        <v>0</v>
      </c>
      <c r="AA20" s="232">
        <f t="shared" si="21"/>
        <v>0</v>
      </c>
      <c r="AB20" s="232">
        <f t="shared" si="22"/>
        <v>1243.058</v>
      </c>
      <c r="AC20" s="232"/>
      <c r="AD20" s="232">
        <f t="shared" si="23"/>
        <v>1243.058</v>
      </c>
      <c r="AE20" s="232">
        <f t="shared" si="23"/>
        <v>0</v>
      </c>
      <c r="AF20" s="232">
        <f t="shared" si="23"/>
        <v>0</v>
      </c>
      <c r="AG20" s="232">
        <f t="shared" si="24"/>
        <v>0</v>
      </c>
      <c r="AH20" s="232"/>
      <c r="AI20" s="232"/>
      <c r="AJ20" s="232"/>
      <c r="AK20" s="236"/>
      <c r="AL20" s="234">
        <f t="shared" si="25"/>
        <v>1243.058</v>
      </c>
      <c r="AM20" s="232"/>
      <c r="AN20" s="232">
        <f t="shared" si="26"/>
        <v>1243.058</v>
      </c>
      <c r="AO20" s="232">
        <f t="shared" si="26"/>
        <v>0</v>
      </c>
      <c r="AP20" s="235">
        <f t="shared" si="26"/>
        <v>0</v>
      </c>
      <c r="AQ20" s="232">
        <f t="shared" si="27"/>
        <v>1092.53</v>
      </c>
      <c r="AR20" s="232"/>
      <c r="AS20" s="232">
        <v>1092.53</v>
      </c>
      <c r="AT20" s="232"/>
      <c r="AU20" s="232"/>
      <c r="AV20" s="232">
        <f t="shared" si="28"/>
        <v>1092.53</v>
      </c>
      <c r="AW20" s="232"/>
      <c r="AX20" s="232">
        <v>1092.53</v>
      </c>
      <c r="AY20" s="232"/>
      <c r="AZ20" s="232"/>
      <c r="BA20" s="232">
        <f t="shared" si="29"/>
        <v>57.5019</v>
      </c>
      <c r="BB20" s="232"/>
      <c r="BC20" s="232">
        <v>57.5019</v>
      </c>
      <c r="BD20" s="232"/>
      <c r="BE20" s="232"/>
      <c r="BF20" s="232">
        <f t="shared" si="30"/>
        <v>57.5019</v>
      </c>
      <c r="BG20" s="232"/>
      <c r="BH20" s="232">
        <v>57.5019</v>
      </c>
      <c r="BI20" s="232"/>
      <c r="BJ20" s="232"/>
      <c r="BK20" s="232">
        <f t="shared" si="31"/>
        <v>1150.0319</v>
      </c>
      <c r="BL20" s="232">
        <f t="shared" si="32"/>
        <v>0</v>
      </c>
      <c r="BM20" s="232">
        <f t="shared" si="33"/>
        <v>1150.0319</v>
      </c>
      <c r="BN20" s="232">
        <f t="shared" si="34"/>
        <v>0</v>
      </c>
      <c r="BO20" s="232">
        <f t="shared" si="35"/>
        <v>0</v>
      </c>
      <c r="BP20" s="316">
        <f t="shared" si="36"/>
        <v>150.52800000000002</v>
      </c>
      <c r="BQ20" s="317">
        <f t="shared" si="37"/>
        <v>0</v>
      </c>
      <c r="BR20" s="317">
        <f t="shared" si="38"/>
        <v>150.52800000000002</v>
      </c>
      <c r="BS20" s="317">
        <f t="shared" si="39"/>
        <v>0</v>
      </c>
      <c r="BT20" s="317">
        <f t="shared" si="40"/>
        <v>0</v>
      </c>
      <c r="BU20" s="229">
        <v>1</v>
      </c>
      <c r="BV20" s="305"/>
      <c r="BW20" s="331" t="s">
        <v>273</v>
      </c>
      <c r="BY20" s="232">
        <v>150</v>
      </c>
      <c r="BZ20" s="232">
        <v>1</v>
      </c>
      <c r="CA20" s="317"/>
      <c r="CB20" s="232"/>
      <c r="CC20" s="232"/>
    </row>
    <row r="21" spans="1:81" s="229" customFormat="1" ht="15" customHeight="1">
      <c r="A21" s="230">
        <v>13</v>
      </c>
      <c r="B21" s="239" t="s">
        <v>61</v>
      </c>
      <c r="C21" s="232">
        <f t="shared" si="13"/>
        <v>768.704</v>
      </c>
      <c r="D21" s="233"/>
      <c r="E21" s="232">
        <f t="shared" si="14"/>
        <v>768.704</v>
      </c>
      <c r="F21" s="233"/>
      <c r="G21" s="232"/>
      <c r="H21" s="232">
        <f t="shared" si="15"/>
        <v>810.8552699999999</v>
      </c>
      <c r="I21" s="233"/>
      <c r="J21" s="232">
        <f t="shared" si="16"/>
        <v>768.704</v>
      </c>
      <c r="K21" s="232">
        <f t="shared" si="17"/>
        <v>42.15127</v>
      </c>
      <c r="L21" s="240"/>
      <c r="M21" s="232">
        <f t="shared" si="18"/>
        <v>768.704</v>
      </c>
      <c r="N21" s="232"/>
      <c r="O21" s="232">
        <v>768.704</v>
      </c>
      <c r="P21" s="232"/>
      <c r="Q21" s="232"/>
      <c r="R21" s="234">
        <f t="shared" si="19"/>
        <v>768.704</v>
      </c>
      <c r="S21" s="232"/>
      <c r="T21" s="232">
        <v>768.704</v>
      </c>
      <c r="U21" s="232"/>
      <c r="V21" s="235"/>
      <c r="W21" s="232">
        <f t="shared" si="20"/>
        <v>0</v>
      </c>
      <c r="X21" s="232">
        <f t="shared" si="21"/>
        <v>0</v>
      </c>
      <c r="Y21" s="232">
        <f t="shared" si="21"/>
        <v>0</v>
      </c>
      <c r="Z21" s="232">
        <f t="shared" si="21"/>
        <v>0</v>
      </c>
      <c r="AA21" s="232">
        <f t="shared" si="21"/>
        <v>0</v>
      </c>
      <c r="AB21" s="232">
        <f t="shared" si="22"/>
        <v>768.704</v>
      </c>
      <c r="AC21" s="232"/>
      <c r="AD21" s="232">
        <f t="shared" si="23"/>
        <v>768.704</v>
      </c>
      <c r="AE21" s="232">
        <f t="shared" si="23"/>
        <v>0</v>
      </c>
      <c r="AF21" s="232">
        <f t="shared" si="23"/>
        <v>0</v>
      </c>
      <c r="AG21" s="232">
        <f t="shared" si="24"/>
        <v>0</v>
      </c>
      <c r="AH21" s="232"/>
      <c r="AI21" s="232"/>
      <c r="AJ21" s="232"/>
      <c r="AK21" s="236"/>
      <c r="AL21" s="234">
        <f t="shared" si="25"/>
        <v>768.704</v>
      </c>
      <c r="AM21" s="232"/>
      <c r="AN21" s="232">
        <f t="shared" si="26"/>
        <v>768.704</v>
      </c>
      <c r="AO21" s="232">
        <f t="shared" si="26"/>
        <v>0</v>
      </c>
      <c r="AP21" s="235">
        <f t="shared" si="26"/>
        <v>0</v>
      </c>
      <c r="AQ21" s="232">
        <f t="shared" si="27"/>
        <v>768.704</v>
      </c>
      <c r="AR21" s="232"/>
      <c r="AS21" s="232">
        <f>96.088+672.616</f>
        <v>768.704</v>
      </c>
      <c r="AT21" s="232"/>
      <c r="AU21" s="232"/>
      <c r="AV21" s="232">
        <f t="shared" si="28"/>
        <v>768.704</v>
      </c>
      <c r="AW21" s="232"/>
      <c r="AX21" s="232">
        <f>96.088+672.616</f>
        <v>768.704</v>
      </c>
      <c r="AY21" s="232"/>
      <c r="AZ21" s="232"/>
      <c r="BA21" s="232">
        <f t="shared" si="29"/>
        <v>42.15127</v>
      </c>
      <c r="BB21" s="232"/>
      <c r="BC21" s="232">
        <v>42.15127</v>
      </c>
      <c r="BD21" s="232"/>
      <c r="BE21" s="232"/>
      <c r="BF21" s="232">
        <f t="shared" si="30"/>
        <v>42.15127</v>
      </c>
      <c r="BG21" s="232"/>
      <c r="BH21" s="232">
        <v>42.15127</v>
      </c>
      <c r="BI21" s="232"/>
      <c r="BJ21" s="232"/>
      <c r="BK21" s="232">
        <f t="shared" si="31"/>
        <v>810.8552699999999</v>
      </c>
      <c r="BL21" s="232">
        <f t="shared" si="32"/>
        <v>0</v>
      </c>
      <c r="BM21" s="232">
        <f t="shared" si="33"/>
        <v>810.8552699999999</v>
      </c>
      <c r="BN21" s="232">
        <f t="shared" si="34"/>
        <v>0</v>
      </c>
      <c r="BO21" s="232">
        <f t="shared" si="35"/>
        <v>0</v>
      </c>
      <c r="BP21" s="316">
        <f t="shared" si="36"/>
        <v>0</v>
      </c>
      <c r="BQ21" s="317">
        <f t="shared" si="37"/>
        <v>0</v>
      </c>
      <c r="BR21" s="317">
        <f t="shared" si="38"/>
        <v>0</v>
      </c>
      <c r="BS21" s="317">
        <f t="shared" si="39"/>
        <v>0</v>
      </c>
      <c r="BT21" s="317">
        <f t="shared" si="40"/>
        <v>0</v>
      </c>
      <c r="BU21" s="229">
        <v>1</v>
      </c>
      <c r="BV21" s="305"/>
      <c r="BW21" s="331" t="s">
        <v>228</v>
      </c>
      <c r="BY21" s="232"/>
      <c r="BZ21" s="232">
        <v>1</v>
      </c>
      <c r="CA21" s="317"/>
      <c r="CB21" s="232"/>
      <c r="CC21" s="232"/>
    </row>
    <row r="22" spans="1:81" s="229" customFormat="1" ht="21" customHeight="1">
      <c r="A22" s="230">
        <v>14</v>
      </c>
      <c r="B22" s="239" t="s">
        <v>62</v>
      </c>
      <c r="C22" s="232">
        <f t="shared" si="13"/>
        <v>5061.535</v>
      </c>
      <c r="D22" s="233"/>
      <c r="E22" s="232">
        <f t="shared" si="14"/>
        <v>5061.535</v>
      </c>
      <c r="F22" s="233"/>
      <c r="G22" s="232"/>
      <c r="H22" s="232">
        <f t="shared" si="15"/>
        <v>5332.65534</v>
      </c>
      <c r="I22" s="233"/>
      <c r="J22" s="232">
        <f t="shared" si="16"/>
        <v>5061.535</v>
      </c>
      <c r="K22" s="232">
        <f t="shared" si="17"/>
        <v>271.12034</v>
      </c>
      <c r="L22" s="240"/>
      <c r="M22" s="232">
        <f t="shared" si="18"/>
        <v>5061.535</v>
      </c>
      <c r="N22" s="232"/>
      <c r="O22" s="232">
        <f>1171.82+3889.715</f>
        <v>5061.535</v>
      </c>
      <c r="P22" s="232"/>
      <c r="Q22" s="232"/>
      <c r="R22" s="234">
        <f t="shared" si="19"/>
        <v>5061.535</v>
      </c>
      <c r="S22" s="232"/>
      <c r="T22" s="232">
        <f>1171.82+3889.715</f>
        <v>5061.535</v>
      </c>
      <c r="U22" s="232"/>
      <c r="V22" s="235"/>
      <c r="W22" s="232">
        <f t="shared" si="20"/>
        <v>0</v>
      </c>
      <c r="X22" s="232">
        <f t="shared" si="21"/>
        <v>0</v>
      </c>
      <c r="Y22" s="232">
        <f t="shared" si="21"/>
        <v>0</v>
      </c>
      <c r="Z22" s="232">
        <f t="shared" si="21"/>
        <v>0</v>
      </c>
      <c r="AA22" s="232">
        <f t="shared" si="21"/>
        <v>0</v>
      </c>
      <c r="AB22" s="232">
        <f t="shared" si="22"/>
        <v>5061.535</v>
      </c>
      <c r="AC22" s="232"/>
      <c r="AD22" s="232">
        <f t="shared" si="23"/>
        <v>5061.535</v>
      </c>
      <c r="AE22" s="232">
        <f t="shared" si="23"/>
        <v>0</v>
      </c>
      <c r="AF22" s="232">
        <f t="shared" si="23"/>
        <v>0</v>
      </c>
      <c r="AG22" s="232">
        <f t="shared" si="24"/>
        <v>0</v>
      </c>
      <c r="AH22" s="232"/>
      <c r="AI22" s="232"/>
      <c r="AJ22" s="232"/>
      <c r="AK22" s="236"/>
      <c r="AL22" s="234">
        <f t="shared" si="25"/>
        <v>5061.535</v>
      </c>
      <c r="AM22" s="232"/>
      <c r="AN22" s="232">
        <f t="shared" si="26"/>
        <v>5061.535</v>
      </c>
      <c r="AO22" s="232">
        <f t="shared" si="26"/>
        <v>0</v>
      </c>
      <c r="AP22" s="235">
        <f t="shared" si="26"/>
        <v>0</v>
      </c>
      <c r="AQ22" s="232">
        <f t="shared" si="27"/>
        <v>5021.535</v>
      </c>
      <c r="AR22" s="232"/>
      <c r="AS22" s="232">
        <f>1957.315+1897.292+1171.82-4.892</f>
        <v>5021.535</v>
      </c>
      <c r="AT22" s="232"/>
      <c r="AU22" s="232"/>
      <c r="AV22" s="232">
        <f t="shared" si="28"/>
        <v>5021.535</v>
      </c>
      <c r="AW22" s="232"/>
      <c r="AX22" s="232">
        <f>1957.315+1897.292+1171.82-4.892</f>
        <v>5021.535</v>
      </c>
      <c r="AY22" s="232"/>
      <c r="AZ22" s="232"/>
      <c r="BA22" s="232">
        <f t="shared" si="29"/>
        <v>271.12034</v>
      </c>
      <c r="BB22" s="232"/>
      <c r="BC22" s="232">
        <v>271.12034</v>
      </c>
      <c r="BD22" s="232"/>
      <c r="BE22" s="232"/>
      <c r="BF22" s="232">
        <f t="shared" si="30"/>
        <v>271.12034</v>
      </c>
      <c r="BG22" s="232"/>
      <c r="BH22" s="232">
        <v>271.12034</v>
      </c>
      <c r="BI22" s="232"/>
      <c r="BJ22" s="232"/>
      <c r="BK22" s="232">
        <f t="shared" si="31"/>
        <v>5292.65534</v>
      </c>
      <c r="BL22" s="232">
        <f t="shared" si="32"/>
        <v>0</v>
      </c>
      <c r="BM22" s="232">
        <f t="shared" si="33"/>
        <v>5292.65534</v>
      </c>
      <c r="BN22" s="232">
        <f t="shared" si="34"/>
        <v>0</v>
      </c>
      <c r="BO22" s="232">
        <f t="shared" si="35"/>
        <v>0</v>
      </c>
      <c r="BP22" s="316">
        <f t="shared" si="36"/>
        <v>40</v>
      </c>
      <c r="BQ22" s="317">
        <f t="shared" si="37"/>
        <v>0</v>
      </c>
      <c r="BR22" s="317">
        <f t="shared" si="38"/>
        <v>40</v>
      </c>
      <c r="BS22" s="317">
        <f t="shared" si="39"/>
        <v>0</v>
      </c>
      <c r="BT22" s="317">
        <f t="shared" si="40"/>
        <v>0</v>
      </c>
      <c r="BU22" s="229">
        <v>1</v>
      </c>
      <c r="BV22" s="305"/>
      <c r="BW22" s="331" t="s">
        <v>274</v>
      </c>
      <c r="BY22" s="232">
        <v>40</v>
      </c>
      <c r="BZ22" s="232">
        <v>1</v>
      </c>
      <c r="CA22" s="317"/>
      <c r="CB22" s="232"/>
      <c r="CC22" s="232"/>
    </row>
    <row r="23" spans="1:81" s="229" customFormat="1" ht="15" customHeight="1">
      <c r="A23" s="230">
        <v>15</v>
      </c>
      <c r="B23" s="239" t="s">
        <v>63</v>
      </c>
      <c r="C23" s="232">
        <f t="shared" si="13"/>
        <v>531.092</v>
      </c>
      <c r="D23" s="233"/>
      <c r="E23" s="232">
        <f t="shared" si="14"/>
        <v>531.092</v>
      </c>
      <c r="F23" s="233"/>
      <c r="G23" s="232"/>
      <c r="H23" s="232">
        <f t="shared" si="15"/>
        <v>812.877</v>
      </c>
      <c r="I23" s="233"/>
      <c r="J23" s="232">
        <f t="shared" si="16"/>
        <v>531.092</v>
      </c>
      <c r="K23" s="232">
        <f t="shared" si="17"/>
        <v>281.785</v>
      </c>
      <c r="L23" s="240"/>
      <c r="M23" s="232">
        <f t="shared" si="18"/>
        <v>531.092</v>
      </c>
      <c r="N23" s="232"/>
      <c r="O23" s="232">
        <v>284.371</v>
      </c>
      <c r="P23" s="232"/>
      <c r="Q23" s="232">
        <v>246.721</v>
      </c>
      <c r="R23" s="234">
        <f t="shared" si="19"/>
        <v>531.092</v>
      </c>
      <c r="S23" s="232"/>
      <c r="T23" s="232">
        <v>284.371</v>
      </c>
      <c r="U23" s="232"/>
      <c r="V23" s="235">
        <v>246.721</v>
      </c>
      <c r="W23" s="232">
        <f t="shared" si="20"/>
        <v>0</v>
      </c>
      <c r="X23" s="232">
        <f t="shared" si="21"/>
        <v>0</v>
      </c>
      <c r="Y23" s="232">
        <f t="shared" si="21"/>
        <v>0</v>
      </c>
      <c r="Z23" s="232">
        <f t="shared" si="21"/>
        <v>0</v>
      </c>
      <c r="AA23" s="232">
        <f t="shared" si="21"/>
        <v>0</v>
      </c>
      <c r="AB23" s="232">
        <f t="shared" si="22"/>
        <v>531.092</v>
      </c>
      <c r="AC23" s="232"/>
      <c r="AD23" s="232">
        <f t="shared" si="23"/>
        <v>284.371</v>
      </c>
      <c r="AE23" s="232">
        <f t="shared" si="23"/>
        <v>0</v>
      </c>
      <c r="AF23" s="232">
        <f t="shared" si="23"/>
        <v>246.721</v>
      </c>
      <c r="AG23" s="232">
        <f t="shared" si="24"/>
        <v>0</v>
      </c>
      <c r="AH23" s="232"/>
      <c r="AI23" s="232"/>
      <c r="AJ23" s="232"/>
      <c r="AK23" s="236"/>
      <c r="AL23" s="234">
        <f t="shared" si="25"/>
        <v>531.092</v>
      </c>
      <c r="AM23" s="232"/>
      <c r="AN23" s="232">
        <f t="shared" si="26"/>
        <v>284.371</v>
      </c>
      <c r="AO23" s="232">
        <f t="shared" si="26"/>
        <v>0</v>
      </c>
      <c r="AP23" s="235">
        <f t="shared" si="26"/>
        <v>246.721</v>
      </c>
      <c r="AQ23" s="232">
        <f t="shared" si="27"/>
        <v>531.092</v>
      </c>
      <c r="AR23" s="232"/>
      <c r="AS23" s="232">
        <v>284.371</v>
      </c>
      <c r="AT23" s="232"/>
      <c r="AU23" s="232">
        <v>246.721</v>
      </c>
      <c r="AV23" s="232">
        <f t="shared" si="28"/>
        <v>531.092</v>
      </c>
      <c r="AW23" s="232"/>
      <c r="AX23" s="232">
        <v>284.371</v>
      </c>
      <c r="AY23" s="232"/>
      <c r="AZ23" s="232">
        <v>246.721</v>
      </c>
      <c r="BA23" s="232">
        <f t="shared" si="29"/>
        <v>281.785</v>
      </c>
      <c r="BB23" s="232"/>
      <c r="BC23" s="232">
        <v>236.578</v>
      </c>
      <c r="BD23" s="232"/>
      <c r="BE23" s="232">
        <v>45.207</v>
      </c>
      <c r="BF23" s="232">
        <f t="shared" si="30"/>
        <v>281.785</v>
      </c>
      <c r="BG23" s="232"/>
      <c r="BH23" s="232">
        <v>236.578</v>
      </c>
      <c r="BI23" s="232"/>
      <c r="BJ23" s="232">
        <v>45.207</v>
      </c>
      <c r="BK23" s="232">
        <f t="shared" si="31"/>
        <v>812.877</v>
      </c>
      <c r="BL23" s="232">
        <f t="shared" si="32"/>
        <v>0</v>
      </c>
      <c r="BM23" s="232">
        <f t="shared" si="33"/>
        <v>520.949</v>
      </c>
      <c r="BN23" s="232">
        <f t="shared" si="34"/>
        <v>0</v>
      </c>
      <c r="BO23" s="232">
        <f t="shared" si="35"/>
        <v>291.928</v>
      </c>
      <c r="BP23" s="316">
        <f t="shared" si="36"/>
        <v>0</v>
      </c>
      <c r="BQ23" s="317">
        <f t="shared" si="37"/>
        <v>0</v>
      </c>
      <c r="BR23" s="317">
        <f t="shared" si="38"/>
        <v>0</v>
      </c>
      <c r="BS23" s="317">
        <f t="shared" si="39"/>
        <v>0</v>
      </c>
      <c r="BT23" s="317">
        <f t="shared" si="40"/>
        <v>0</v>
      </c>
      <c r="BU23" s="229">
        <v>1</v>
      </c>
      <c r="BV23" s="305"/>
      <c r="BW23" s="331" t="s">
        <v>228</v>
      </c>
      <c r="BY23" s="232"/>
      <c r="BZ23" s="232">
        <v>1</v>
      </c>
      <c r="CA23" s="317"/>
      <c r="CB23" s="232"/>
      <c r="CC23" s="232"/>
    </row>
    <row r="24" spans="1:81" s="229" customFormat="1" ht="21" customHeight="1">
      <c r="A24" s="230">
        <v>16</v>
      </c>
      <c r="B24" s="239" t="s">
        <v>64</v>
      </c>
      <c r="C24" s="232">
        <f t="shared" si="13"/>
        <v>1239.961</v>
      </c>
      <c r="D24" s="233"/>
      <c r="E24" s="232">
        <f t="shared" si="14"/>
        <v>1239.961</v>
      </c>
      <c r="F24" s="233"/>
      <c r="G24" s="232"/>
      <c r="H24" s="232">
        <f t="shared" si="15"/>
        <v>2176.45594</v>
      </c>
      <c r="I24" s="233"/>
      <c r="J24" s="232">
        <f t="shared" si="16"/>
        <v>1239.961</v>
      </c>
      <c r="K24" s="232">
        <f t="shared" si="17"/>
        <v>936.49494</v>
      </c>
      <c r="L24" s="240"/>
      <c r="M24" s="232">
        <f t="shared" si="18"/>
        <v>1239.961</v>
      </c>
      <c r="N24" s="232"/>
      <c r="O24" s="232">
        <v>1239.961</v>
      </c>
      <c r="P24" s="232"/>
      <c r="Q24" s="232"/>
      <c r="R24" s="234">
        <f t="shared" si="19"/>
        <v>1239.961</v>
      </c>
      <c r="S24" s="232"/>
      <c r="T24" s="232">
        <v>1239.961</v>
      </c>
      <c r="U24" s="232"/>
      <c r="V24" s="235"/>
      <c r="W24" s="232">
        <f t="shared" si="20"/>
        <v>0</v>
      </c>
      <c r="X24" s="232">
        <f t="shared" si="21"/>
        <v>0</v>
      </c>
      <c r="Y24" s="232">
        <f t="shared" si="21"/>
        <v>0</v>
      </c>
      <c r="Z24" s="232">
        <f t="shared" si="21"/>
        <v>0</v>
      </c>
      <c r="AA24" s="232">
        <f t="shared" si="21"/>
        <v>0</v>
      </c>
      <c r="AB24" s="232">
        <f t="shared" si="22"/>
        <v>1239.961</v>
      </c>
      <c r="AC24" s="232"/>
      <c r="AD24" s="232">
        <f t="shared" si="23"/>
        <v>1239.961</v>
      </c>
      <c r="AE24" s="232">
        <f t="shared" si="23"/>
        <v>0</v>
      </c>
      <c r="AF24" s="232">
        <f t="shared" si="23"/>
        <v>0</v>
      </c>
      <c r="AG24" s="232">
        <f t="shared" si="24"/>
        <v>0</v>
      </c>
      <c r="AH24" s="232"/>
      <c r="AI24" s="232"/>
      <c r="AJ24" s="232"/>
      <c r="AK24" s="236"/>
      <c r="AL24" s="234">
        <f t="shared" si="25"/>
        <v>1239.961</v>
      </c>
      <c r="AM24" s="232"/>
      <c r="AN24" s="232">
        <f t="shared" si="26"/>
        <v>1239.961</v>
      </c>
      <c r="AO24" s="232">
        <f t="shared" si="26"/>
        <v>0</v>
      </c>
      <c r="AP24" s="235">
        <f t="shared" si="26"/>
        <v>0</v>
      </c>
      <c r="AQ24" s="232">
        <f t="shared" si="27"/>
        <v>1190.60462</v>
      </c>
      <c r="AR24" s="232"/>
      <c r="AS24" s="232">
        <f>617.45576+573.14886</f>
        <v>1190.60462</v>
      </c>
      <c r="AT24" s="232"/>
      <c r="AU24" s="232"/>
      <c r="AV24" s="232">
        <f t="shared" si="28"/>
        <v>1190.60462</v>
      </c>
      <c r="AW24" s="232"/>
      <c r="AX24" s="232">
        <f>617.45576+573.14886</f>
        <v>1190.60462</v>
      </c>
      <c r="AY24" s="232"/>
      <c r="AZ24" s="232"/>
      <c r="BA24" s="232">
        <f t="shared" si="29"/>
        <v>936.49494</v>
      </c>
      <c r="BB24" s="232"/>
      <c r="BC24" s="232">
        <v>936.49494</v>
      </c>
      <c r="BD24" s="232"/>
      <c r="BE24" s="232"/>
      <c r="BF24" s="232">
        <f t="shared" si="30"/>
        <v>936.49494</v>
      </c>
      <c r="BG24" s="232"/>
      <c r="BH24" s="232">
        <v>936.49494</v>
      </c>
      <c r="BI24" s="232"/>
      <c r="BJ24" s="232"/>
      <c r="BK24" s="232">
        <f t="shared" si="31"/>
        <v>2127.09956</v>
      </c>
      <c r="BL24" s="232">
        <f t="shared" si="32"/>
        <v>0</v>
      </c>
      <c r="BM24" s="232">
        <f t="shared" si="33"/>
        <v>2127.09956</v>
      </c>
      <c r="BN24" s="232">
        <f t="shared" si="34"/>
        <v>0</v>
      </c>
      <c r="BO24" s="232">
        <f t="shared" si="35"/>
        <v>0</v>
      </c>
      <c r="BP24" s="316">
        <f t="shared" si="36"/>
        <v>49.356379999999945</v>
      </c>
      <c r="BQ24" s="317">
        <f t="shared" si="37"/>
        <v>0</v>
      </c>
      <c r="BR24" s="317">
        <f t="shared" si="38"/>
        <v>49.356379999999945</v>
      </c>
      <c r="BS24" s="317">
        <f t="shared" si="39"/>
        <v>0</v>
      </c>
      <c r="BT24" s="317">
        <f t="shared" si="40"/>
        <v>0</v>
      </c>
      <c r="BU24" s="229">
        <v>1</v>
      </c>
      <c r="BV24" s="305"/>
      <c r="BW24" s="331" t="s">
        <v>275</v>
      </c>
      <c r="BY24" s="232">
        <v>49.4</v>
      </c>
      <c r="BZ24" s="232">
        <v>1</v>
      </c>
      <c r="CA24" s="317"/>
      <c r="CB24" s="232"/>
      <c r="CC24" s="232"/>
    </row>
    <row r="25" spans="1:81" s="229" customFormat="1" ht="15" customHeight="1">
      <c r="A25" s="230">
        <v>17</v>
      </c>
      <c r="B25" s="239" t="s">
        <v>65</v>
      </c>
      <c r="C25" s="232">
        <f t="shared" si="13"/>
        <v>354.746</v>
      </c>
      <c r="D25" s="233"/>
      <c r="E25" s="232">
        <f t="shared" si="14"/>
        <v>354.746</v>
      </c>
      <c r="F25" s="233"/>
      <c r="G25" s="232"/>
      <c r="H25" s="232">
        <f t="shared" si="15"/>
        <v>373.83799999999997</v>
      </c>
      <c r="I25" s="233"/>
      <c r="J25" s="232">
        <f t="shared" si="16"/>
        <v>354.746</v>
      </c>
      <c r="K25" s="232">
        <f t="shared" si="17"/>
        <v>19.092</v>
      </c>
      <c r="L25" s="240"/>
      <c r="M25" s="232">
        <f t="shared" si="18"/>
        <v>354.746</v>
      </c>
      <c r="N25" s="232"/>
      <c r="O25" s="232">
        <v>354.746</v>
      </c>
      <c r="P25" s="232"/>
      <c r="Q25" s="232"/>
      <c r="R25" s="234">
        <f t="shared" si="19"/>
        <v>354.746</v>
      </c>
      <c r="S25" s="232"/>
      <c r="T25" s="232">
        <v>354.746</v>
      </c>
      <c r="U25" s="232"/>
      <c r="V25" s="235"/>
      <c r="W25" s="232">
        <f t="shared" si="20"/>
        <v>0</v>
      </c>
      <c r="X25" s="232">
        <f t="shared" si="21"/>
        <v>0</v>
      </c>
      <c r="Y25" s="232">
        <f t="shared" si="21"/>
        <v>0</v>
      </c>
      <c r="Z25" s="232">
        <f t="shared" si="21"/>
        <v>0</v>
      </c>
      <c r="AA25" s="232">
        <f t="shared" si="21"/>
        <v>0</v>
      </c>
      <c r="AB25" s="232">
        <f t="shared" si="22"/>
        <v>354.746</v>
      </c>
      <c r="AC25" s="232"/>
      <c r="AD25" s="232">
        <f t="shared" si="23"/>
        <v>354.746</v>
      </c>
      <c r="AE25" s="232">
        <f t="shared" si="23"/>
        <v>0</v>
      </c>
      <c r="AF25" s="232">
        <f t="shared" si="23"/>
        <v>0</v>
      </c>
      <c r="AG25" s="232">
        <f t="shared" si="24"/>
        <v>0</v>
      </c>
      <c r="AH25" s="232"/>
      <c r="AI25" s="232"/>
      <c r="AJ25" s="232"/>
      <c r="AK25" s="236"/>
      <c r="AL25" s="234">
        <f t="shared" si="25"/>
        <v>354.746</v>
      </c>
      <c r="AM25" s="232"/>
      <c r="AN25" s="232">
        <f t="shared" si="26"/>
        <v>354.746</v>
      </c>
      <c r="AO25" s="232">
        <f t="shared" si="26"/>
        <v>0</v>
      </c>
      <c r="AP25" s="235">
        <f t="shared" si="26"/>
        <v>0</v>
      </c>
      <c r="AQ25" s="232">
        <f t="shared" si="27"/>
        <v>354.746</v>
      </c>
      <c r="AR25" s="232"/>
      <c r="AS25" s="232">
        <v>354.746</v>
      </c>
      <c r="AT25" s="232"/>
      <c r="AU25" s="232"/>
      <c r="AV25" s="232">
        <f t="shared" si="28"/>
        <v>354.746</v>
      </c>
      <c r="AW25" s="232"/>
      <c r="AX25" s="232">
        <v>354.746</v>
      </c>
      <c r="AY25" s="232"/>
      <c r="AZ25" s="232"/>
      <c r="BA25" s="232">
        <f t="shared" si="29"/>
        <v>19.092</v>
      </c>
      <c r="BB25" s="232"/>
      <c r="BC25" s="232">
        <v>19.092</v>
      </c>
      <c r="BD25" s="232"/>
      <c r="BE25" s="232"/>
      <c r="BF25" s="232">
        <f t="shared" si="30"/>
        <v>19.092</v>
      </c>
      <c r="BG25" s="232"/>
      <c r="BH25" s="232">
        <v>19.092</v>
      </c>
      <c r="BI25" s="232"/>
      <c r="BJ25" s="232"/>
      <c r="BK25" s="232">
        <f t="shared" si="31"/>
        <v>373.83799999999997</v>
      </c>
      <c r="BL25" s="232">
        <f t="shared" si="32"/>
        <v>0</v>
      </c>
      <c r="BM25" s="232">
        <f t="shared" si="33"/>
        <v>373.83799999999997</v>
      </c>
      <c r="BN25" s="232">
        <f t="shared" si="34"/>
        <v>0</v>
      </c>
      <c r="BO25" s="232">
        <f t="shared" si="35"/>
        <v>0</v>
      </c>
      <c r="BP25" s="316">
        <f t="shared" si="36"/>
        <v>0</v>
      </c>
      <c r="BQ25" s="317">
        <f t="shared" si="37"/>
        <v>0</v>
      </c>
      <c r="BR25" s="317">
        <f t="shared" si="38"/>
        <v>0</v>
      </c>
      <c r="BS25" s="317">
        <f t="shared" si="39"/>
        <v>0</v>
      </c>
      <c r="BT25" s="317">
        <f t="shared" si="40"/>
        <v>0</v>
      </c>
      <c r="BU25" s="229">
        <v>1</v>
      </c>
      <c r="BV25" s="305"/>
      <c r="BW25" s="331" t="s">
        <v>228</v>
      </c>
      <c r="BY25" s="232"/>
      <c r="BZ25" s="232">
        <v>1</v>
      </c>
      <c r="CA25" s="317"/>
      <c r="CB25" s="232"/>
      <c r="CC25" s="232"/>
    </row>
    <row r="26" spans="1:81" s="229" customFormat="1" ht="20.25" customHeight="1">
      <c r="A26" s="230">
        <v>18</v>
      </c>
      <c r="B26" s="239" t="s">
        <v>66</v>
      </c>
      <c r="C26" s="232">
        <f t="shared" si="13"/>
        <v>1185.241</v>
      </c>
      <c r="D26" s="233"/>
      <c r="E26" s="232">
        <f t="shared" si="14"/>
        <v>1185.241</v>
      </c>
      <c r="F26" s="233"/>
      <c r="G26" s="232"/>
      <c r="H26" s="232">
        <f t="shared" si="15"/>
        <v>1243.141</v>
      </c>
      <c r="I26" s="233"/>
      <c r="J26" s="232">
        <f t="shared" si="16"/>
        <v>1185.241</v>
      </c>
      <c r="K26" s="232">
        <f t="shared" si="17"/>
        <v>57.9</v>
      </c>
      <c r="L26" s="240"/>
      <c r="M26" s="232">
        <f t="shared" si="18"/>
        <v>1185.241</v>
      </c>
      <c r="N26" s="232"/>
      <c r="O26" s="232">
        <v>1185.241</v>
      </c>
      <c r="P26" s="232"/>
      <c r="Q26" s="232"/>
      <c r="R26" s="234">
        <f t="shared" si="19"/>
        <v>1185.241</v>
      </c>
      <c r="S26" s="232"/>
      <c r="T26" s="232">
        <v>1185.241</v>
      </c>
      <c r="U26" s="232"/>
      <c r="V26" s="235"/>
      <c r="W26" s="232">
        <f t="shared" si="20"/>
        <v>0</v>
      </c>
      <c r="X26" s="232">
        <f t="shared" si="21"/>
        <v>0</v>
      </c>
      <c r="Y26" s="232">
        <f t="shared" si="21"/>
        <v>0</v>
      </c>
      <c r="Z26" s="232">
        <f t="shared" si="21"/>
        <v>0</v>
      </c>
      <c r="AA26" s="232">
        <f t="shared" si="21"/>
        <v>0</v>
      </c>
      <c r="AB26" s="232">
        <f t="shared" si="22"/>
        <v>1185.241</v>
      </c>
      <c r="AC26" s="232"/>
      <c r="AD26" s="232">
        <f t="shared" si="23"/>
        <v>1185.241</v>
      </c>
      <c r="AE26" s="232">
        <f t="shared" si="23"/>
        <v>0</v>
      </c>
      <c r="AF26" s="232">
        <f t="shared" si="23"/>
        <v>0</v>
      </c>
      <c r="AG26" s="232">
        <f t="shared" si="24"/>
        <v>0</v>
      </c>
      <c r="AH26" s="232"/>
      <c r="AI26" s="232"/>
      <c r="AJ26" s="232"/>
      <c r="AK26" s="236"/>
      <c r="AL26" s="234">
        <f t="shared" si="25"/>
        <v>1185.241</v>
      </c>
      <c r="AM26" s="232"/>
      <c r="AN26" s="232">
        <f t="shared" si="26"/>
        <v>1185.241</v>
      </c>
      <c r="AO26" s="232">
        <f t="shared" si="26"/>
        <v>0</v>
      </c>
      <c r="AP26" s="235">
        <f t="shared" si="26"/>
        <v>0</v>
      </c>
      <c r="AQ26" s="232">
        <f t="shared" si="27"/>
        <v>1096.84938</v>
      </c>
      <c r="AR26" s="232"/>
      <c r="AS26" s="232">
        <f>1096.84938</f>
        <v>1096.84938</v>
      </c>
      <c r="AT26" s="232"/>
      <c r="AU26" s="232"/>
      <c r="AV26" s="232">
        <f t="shared" si="28"/>
        <v>1096.84938</v>
      </c>
      <c r="AW26" s="232"/>
      <c r="AX26" s="232">
        <f>1096.84938</f>
        <v>1096.84938</v>
      </c>
      <c r="AY26" s="232"/>
      <c r="AZ26" s="232"/>
      <c r="BA26" s="232">
        <f t="shared" si="29"/>
        <v>57.9</v>
      </c>
      <c r="BB26" s="232"/>
      <c r="BC26" s="232">
        <v>57.9</v>
      </c>
      <c r="BD26" s="232"/>
      <c r="BE26" s="232"/>
      <c r="BF26" s="232">
        <f t="shared" si="30"/>
        <v>57.9</v>
      </c>
      <c r="BG26" s="232"/>
      <c r="BH26" s="232">
        <v>57.9</v>
      </c>
      <c r="BI26" s="232"/>
      <c r="BJ26" s="232"/>
      <c r="BK26" s="232">
        <f t="shared" si="31"/>
        <v>1154.7493800000002</v>
      </c>
      <c r="BL26" s="232">
        <f t="shared" si="32"/>
        <v>0</v>
      </c>
      <c r="BM26" s="232">
        <f t="shared" si="33"/>
        <v>1154.7493800000002</v>
      </c>
      <c r="BN26" s="232">
        <f t="shared" si="34"/>
        <v>0</v>
      </c>
      <c r="BO26" s="232">
        <f t="shared" si="35"/>
        <v>0</v>
      </c>
      <c r="BP26" s="316">
        <f t="shared" si="36"/>
        <v>88.39161999999988</v>
      </c>
      <c r="BQ26" s="317">
        <f t="shared" si="37"/>
        <v>0</v>
      </c>
      <c r="BR26" s="317">
        <f t="shared" si="38"/>
        <v>88.39161999999988</v>
      </c>
      <c r="BS26" s="317">
        <f t="shared" si="39"/>
        <v>0</v>
      </c>
      <c r="BT26" s="317">
        <f t="shared" si="40"/>
        <v>0</v>
      </c>
      <c r="BU26" s="229">
        <v>1</v>
      </c>
      <c r="BV26" s="305"/>
      <c r="BW26" s="331" t="s">
        <v>276</v>
      </c>
      <c r="BY26" s="232">
        <v>88.4</v>
      </c>
      <c r="BZ26" s="232">
        <v>1</v>
      </c>
      <c r="CA26" s="317"/>
      <c r="CB26" s="232"/>
      <c r="CC26" s="232"/>
    </row>
    <row r="27" spans="1:81" s="229" customFormat="1" ht="15" customHeight="1">
      <c r="A27" s="230">
        <v>19</v>
      </c>
      <c r="B27" s="239" t="s">
        <v>67</v>
      </c>
      <c r="C27" s="232">
        <f t="shared" si="13"/>
        <v>658.233</v>
      </c>
      <c r="D27" s="233"/>
      <c r="E27" s="232">
        <f t="shared" si="14"/>
        <v>658.233</v>
      </c>
      <c r="F27" s="233"/>
      <c r="G27" s="232"/>
      <c r="H27" s="232">
        <f t="shared" si="15"/>
        <v>1051.8335499999998</v>
      </c>
      <c r="I27" s="233"/>
      <c r="J27" s="232">
        <f t="shared" si="16"/>
        <v>658.233</v>
      </c>
      <c r="K27" s="232">
        <f t="shared" si="17"/>
        <v>393.60055</v>
      </c>
      <c r="L27" s="240"/>
      <c r="M27" s="232">
        <f t="shared" si="18"/>
        <v>658.233</v>
      </c>
      <c r="N27" s="232"/>
      <c r="O27" s="232">
        <v>658.233</v>
      </c>
      <c r="P27" s="232"/>
      <c r="Q27" s="232"/>
      <c r="R27" s="234">
        <f t="shared" si="19"/>
        <v>658.233</v>
      </c>
      <c r="S27" s="232"/>
      <c r="T27" s="232">
        <v>658.233</v>
      </c>
      <c r="U27" s="232"/>
      <c r="V27" s="235"/>
      <c r="W27" s="232">
        <f t="shared" si="20"/>
        <v>0</v>
      </c>
      <c r="X27" s="232">
        <f t="shared" si="21"/>
        <v>0</v>
      </c>
      <c r="Y27" s="232">
        <f t="shared" si="21"/>
        <v>0</v>
      </c>
      <c r="Z27" s="232">
        <f t="shared" si="21"/>
        <v>0</v>
      </c>
      <c r="AA27" s="232">
        <f t="shared" si="21"/>
        <v>0</v>
      </c>
      <c r="AB27" s="232">
        <f t="shared" si="22"/>
        <v>658.233</v>
      </c>
      <c r="AC27" s="232"/>
      <c r="AD27" s="232">
        <f t="shared" si="23"/>
        <v>658.233</v>
      </c>
      <c r="AE27" s="232">
        <f t="shared" si="23"/>
        <v>0</v>
      </c>
      <c r="AF27" s="232">
        <f t="shared" si="23"/>
        <v>0</v>
      </c>
      <c r="AG27" s="232">
        <f t="shared" si="24"/>
        <v>0</v>
      </c>
      <c r="AH27" s="232"/>
      <c r="AI27" s="232"/>
      <c r="AJ27" s="232"/>
      <c r="AK27" s="236"/>
      <c r="AL27" s="234">
        <f t="shared" si="25"/>
        <v>658.233</v>
      </c>
      <c r="AM27" s="232"/>
      <c r="AN27" s="232">
        <f t="shared" si="26"/>
        <v>658.233</v>
      </c>
      <c r="AO27" s="232">
        <f t="shared" si="26"/>
        <v>0</v>
      </c>
      <c r="AP27" s="235">
        <f t="shared" si="26"/>
        <v>0</v>
      </c>
      <c r="AQ27" s="232">
        <f t="shared" si="27"/>
        <v>658.233</v>
      </c>
      <c r="AR27" s="232"/>
      <c r="AS27" s="232">
        <v>658.233</v>
      </c>
      <c r="AT27" s="232"/>
      <c r="AU27" s="232"/>
      <c r="AV27" s="232">
        <f t="shared" si="28"/>
        <v>658.233</v>
      </c>
      <c r="AW27" s="232"/>
      <c r="AX27" s="232">
        <v>658.233</v>
      </c>
      <c r="AY27" s="232"/>
      <c r="AZ27" s="232"/>
      <c r="BA27" s="232">
        <f t="shared" si="29"/>
        <v>393.60055</v>
      </c>
      <c r="BB27" s="232"/>
      <c r="BC27" s="232">
        <v>393.60055</v>
      </c>
      <c r="BD27" s="232"/>
      <c r="BE27" s="232"/>
      <c r="BF27" s="232">
        <f t="shared" si="30"/>
        <v>393.60055</v>
      </c>
      <c r="BG27" s="232"/>
      <c r="BH27" s="232">
        <v>393.60055</v>
      </c>
      <c r="BI27" s="232"/>
      <c r="BJ27" s="232"/>
      <c r="BK27" s="232">
        <f t="shared" si="31"/>
        <v>1051.8335499999998</v>
      </c>
      <c r="BL27" s="232">
        <f t="shared" si="32"/>
        <v>0</v>
      </c>
      <c r="BM27" s="232">
        <f t="shared" si="33"/>
        <v>1051.8335499999998</v>
      </c>
      <c r="BN27" s="232">
        <f t="shared" si="34"/>
        <v>0</v>
      </c>
      <c r="BO27" s="232">
        <f t="shared" si="35"/>
        <v>0</v>
      </c>
      <c r="BP27" s="316">
        <f t="shared" si="36"/>
        <v>0</v>
      </c>
      <c r="BQ27" s="317">
        <f t="shared" si="37"/>
        <v>0</v>
      </c>
      <c r="BR27" s="317">
        <f t="shared" si="38"/>
        <v>0</v>
      </c>
      <c r="BS27" s="317">
        <f t="shared" si="39"/>
        <v>0</v>
      </c>
      <c r="BT27" s="317">
        <f t="shared" si="40"/>
        <v>0</v>
      </c>
      <c r="BU27" s="229">
        <v>1</v>
      </c>
      <c r="BV27" s="305"/>
      <c r="BW27" s="331" t="s">
        <v>228</v>
      </c>
      <c r="BY27" s="232"/>
      <c r="BZ27" s="232">
        <v>1</v>
      </c>
      <c r="CA27" s="317"/>
      <c r="CB27" s="232"/>
      <c r="CC27" s="232"/>
    </row>
    <row r="28" spans="1:81" s="229" customFormat="1" ht="21" customHeight="1">
      <c r="A28" s="230">
        <v>20</v>
      </c>
      <c r="B28" s="239" t="s">
        <v>68</v>
      </c>
      <c r="C28" s="232">
        <f t="shared" si="13"/>
        <v>451.176</v>
      </c>
      <c r="D28" s="233"/>
      <c r="E28" s="232">
        <f t="shared" si="14"/>
        <v>451.176</v>
      </c>
      <c r="F28" s="233"/>
      <c r="G28" s="232"/>
      <c r="H28" s="232">
        <f t="shared" si="15"/>
        <v>513.60671</v>
      </c>
      <c r="I28" s="233"/>
      <c r="J28" s="232">
        <f t="shared" si="16"/>
        <v>451.176</v>
      </c>
      <c r="K28" s="232">
        <f t="shared" si="17"/>
        <v>62.43071</v>
      </c>
      <c r="L28" s="240"/>
      <c r="M28" s="232">
        <f t="shared" si="18"/>
        <v>451.176</v>
      </c>
      <c r="N28" s="232"/>
      <c r="O28" s="232">
        <v>451.176</v>
      </c>
      <c r="P28" s="232"/>
      <c r="Q28" s="232"/>
      <c r="R28" s="234">
        <f t="shared" si="19"/>
        <v>451.176</v>
      </c>
      <c r="S28" s="232"/>
      <c r="T28" s="232">
        <v>451.176</v>
      </c>
      <c r="U28" s="232"/>
      <c r="V28" s="235"/>
      <c r="W28" s="232">
        <f t="shared" si="20"/>
        <v>0</v>
      </c>
      <c r="X28" s="232">
        <f t="shared" si="21"/>
        <v>0</v>
      </c>
      <c r="Y28" s="232">
        <f t="shared" si="21"/>
        <v>0</v>
      </c>
      <c r="Z28" s="232">
        <f t="shared" si="21"/>
        <v>0</v>
      </c>
      <c r="AA28" s="232">
        <f t="shared" si="21"/>
        <v>0</v>
      </c>
      <c r="AB28" s="232">
        <f t="shared" si="22"/>
        <v>451.176</v>
      </c>
      <c r="AC28" s="232"/>
      <c r="AD28" s="232">
        <f t="shared" si="23"/>
        <v>451.176</v>
      </c>
      <c r="AE28" s="232">
        <f t="shared" si="23"/>
        <v>0</v>
      </c>
      <c r="AF28" s="232">
        <f t="shared" si="23"/>
        <v>0</v>
      </c>
      <c r="AG28" s="232">
        <f t="shared" si="24"/>
        <v>0</v>
      </c>
      <c r="AH28" s="232"/>
      <c r="AI28" s="232"/>
      <c r="AJ28" s="232"/>
      <c r="AK28" s="236"/>
      <c r="AL28" s="234">
        <f t="shared" si="25"/>
        <v>451.176</v>
      </c>
      <c r="AM28" s="232"/>
      <c r="AN28" s="232">
        <f t="shared" si="26"/>
        <v>451.176</v>
      </c>
      <c r="AO28" s="232">
        <f t="shared" si="26"/>
        <v>0</v>
      </c>
      <c r="AP28" s="235">
        <f t="shared" si="26"/>
        <v>0</v>
      </c>
      <c r="AQ28" s="232">
        <f t="shared" si="27"/>
        <v>403.80242999999996</v>
      </c>
      <c r="AR28" s="232"/>
      <c r="AS28" s="232">
        <f>216.21406+187.58837</f>
        <v>403.80242999999996</v>
      </c>
      <c r="AT28" s="232"/>
      <c r="AU28" s="232"/>
      <c r="AV28" s="232">
        <f t="shared" si="28"/>
        <v>403.80242999999996</v>
      </c>
      <c r="AW28" s="232"/>
      <c r="AX28" s="232">
        <f>216.21406+187.58837</f>
        <v>403.80242999999996</v>
      </c>
      <c r="AY28" s="232"/>
      <c r="AZ28" s="232"/>
      <c r="BA28" s="232">
        <f t="shared" si="29"/>
        <v>62.43071</v>
      </c>
      <c r="BB28" s="232"/>
      <c r="BC28" s="232">
        <v>62.43071</v>
      </c>
      <c r="BD28" s="232"/>
      <c r="BE28" s="232"/>
      <c r="BF28" s="232">
        <f t="shared" si="30"/>
        <v>62.43071</v>
      </c>
      <c r="BG28" s="232"/>
      <c r="BH28" s="232">
        <v>62.43071</v>
      </c>
      <c r="BI28" s="232"/>
      <c r="BJ28" s="232"/>
      <c r="BK28" s="232">
        <f t="shared" si="31"/>
        <v>466.23313999999993</v>
      </c>
      <c r="BL28" s="232">
        <f t="shared" si="32"/>
        <v>0</v>
      </c>
      <c r="BM28" s="232">
        <f t="shared" si="33"/>
        <v>466.23313999999993</v>
      </c>
      <c r="BN28" s="232">
        <f t="shared" si="34"/>
        <v>0</v>
      </c>
      <c r="BO28" s="232">
        <f t="shared" si="35"/>
        <v>0</v>
      </c>
      <c r="BP28" s="316">
        <f t="shared" si="36"/>
        <v>47.37357000000003</v>
      </c>
      <c r="BQ28" s="317">
        <f t="shared" si="37"/>
        <v>0</v>
      </c>
      <c r="BR28" s="317">
        <f t="shared" si="38"/>
        <v>47.37357000000003</v>
      </c>
      <c r="BS28" s="317">
        <f t="shared" si="39"/>
        <v>0</v>
      </c>
      <c r="BT28" s="317">
        <f t="shared" si="40"/>
        <v>0</v>
      </c>
      <c r="BU28" s="229">
        <v>1</v>
      </c>
      <c r="BV28" s="305"/>
      <c r="BW28" s="331" t="s">
        <v>277</v>
      </c>
      <c r="BY28" s="232">
        <v>47.4</v>
      </c>
      <c r="BZ28" s="232">
        <v>1</v>
      </c>
      <c r="CA28" s="317"/>
      <c r="CB28" s="232"/>
      <c r="CC28" s="232"/>
    </row>
    <row r="29" spans="1:81" s="229" customFormat="1" ht="15" customHeight="1">
      <c r="A29" s="238"/>
      <c r="B29" s="301" t="s">
        <v>18</v>
      </c>
      <c r="C29" s="228">
        <f aca="true" t="shared" si="41" ref="C29:L29">SUM(C30:C43)</f>
        <v>21026.155</v>
      </c>
      <c r="D29" s="228">
        <f t="shared" si="41"/>
        <v>0</v>
      </c>
      <c r="E29" s="228">
        <f t="shared" si="41"/>
        <v>21026.155</v>
      </c>
      <c r="F29" s="228">
        <f t="shared" si="41"/>
        <v>0</v>
      </c>
      <c r="G29" s="228">
        <f t="shared" si="41"/>
        <v>0</v>
      </c>
      <c r="H29" s="228">
        <f t="shared" si="41"/>
        <v>23825.646499999995</v>
      </c>
      <c r="I29" s="228">
        <f t="shared" si="41"/>
        <v>0</v>
      </c>
      <c r="J29" s="228">
        <f t="shared" si="41"/>
        <v>20327.984999999993</v>
      </c>
      <c r="K29" s="228">
        <f t="shared" si="41"/>
        <v>3497.6615000000006</v>
      </c>
      <c r="L29" s="228">
        <f t="shared" si="41"/>
        <v>0</v>
      </c>
      <c r="M29" s="223">
        <f t="shared" si="18"/>
        <v>21026.155</v>
      </c>
      <c r="N29" s="223">
        <f>SUM(N30:N43)</f>
        <v>3500</v>
      </c>
      <c r="O29" s="223">
        <f>SUM(O30:O43)</f>
        <v>15991.762999999997</v>
      </c>
      <c r="P29" s="223">
        <f>SUM(P30:P43)</f>
        <v>0</v>
      </c>
      <c r="Q29" s="223">
        <f>SUM(Q30:Q43)</f>
        <v>1534.3919999999998</v>
      </c>
      <c r="R29" s="225">
        <f aca="true" t="shared" si="42" ref="R29:AP29">SUM(R30:R43)</f>
        <v>20850.804999999993</v>
      </c>
      <c r="S29" s="223">
        <f t="shared" si="42"/>
        <v>3324.65</v>
      </c>
      <c r="T29" s="223">
        <f t="shared" si="42"/>
        <v>15991.762999999997</v>
      </c>
      <c r="U29" s="223">
        <f t="shared" si="42"/>
        <v>0</v>
      </c>
      <c r="V29" s="226">
        <f t="shared" si="42"/>
        <v>1534.3919999999998</v>
      </c>
      <c r="W29" s="223">
        <f t="shared" si="42"/>
        <v>175.3499999999999</v>
      </c>
      <c r="X29" s="223">
        <f t="shared" si="42"/>
        <v>175.3499999999999</v>
      </c>
      <c r="Y29" s="223">
        <f t="shared" si="42"/>
        <v>0</v>
      </c>
      <c r="Z29" s="223">
        <f t="shared" si="42"/>
        <v>0</v>
      </c>
      <c r="AA29" s="223">
        <f t="shared" si="42"/>
        <v>0</v>
      </c>
      <c r="AB29" s="223">
        <f t="shared" si="42"/>
        <v>17526.155</v>
      </c>
      <c r="AC29" s="223">
        <f t="shared" si="42"/>
        <v>0</v>
      </c>
      <c r="AD29" s="223">
        <f t="shared" si="42"/>
        <v>15991.762999999997</v>
      </c>
      <c r="AE29" s="223">
        <f t="shared" si="42"/>
        <v>0</v>
      </c>
      <c r="AF29" s="223">
        <f t="shared" si="42"/>
        <v>1534.3919999999998</v>
      </c>
      <c r="AG29" s="223">
        <f t="shared" si="42"/>
        <v>0</v>
      </c>
      <c r="AH29" s="223">
        <f t="shared" si="42"/>
        <v>0</v>
      </c>
      <c r="AI29" s="223">
        <f t="shared" si="42"/>
        <v>0</v>
      </c>
      <c r="AJ29" s="223">
        <f t="shared" si="42"/>
        <v>0</v>
      </c>
      <c r="AK29" s="227">
        <f t="shared" si="42"/>
        <v>0</v>
      </c>
      <c r="AL29" s="225">
        <f t="shared" si="42"/>
        <v>20327.984999999993</v>
      </c>
      <c r="AM29" s="223">
        <f t="shared" si="42"/>
        <v>2801.83</v>
      </c>
      <c r="AN29" s="223">
        <f t="shared" si="42"/>
        <v>15991.762999999997</v>
      </c>
      <c r="AO29" s="223">
        <f t="shared" si="42"/>
        <v>0</v>
      </c>
      <c r="AP29" s="226">
        <f t="shared" si="42"/>
        <v>1534.3919999999998</v>
      </c>
      <c r="AQ29" s="223">
        <f aca="true" t="shared" si="43" ref="AQ29:BE29">SUM(AQ30:AQ43)</f>
        <v>12123.57488</v>
      </c>
      <c r="AR29" s="223">
        <f t="shared" si="43"/>
        <v>2801.83</v>
      </c>
      <c r="AS29" s="223">
        <f t="shared" si="43"/>
        <v>7787.3528799999995</v>
      </c>
      <c r="AT29" s="223">
        <f t="shared" si="43"/>
        <v>0</v>
      </c>
      <c r="AU29" s="223">
        <f t="shared" si="43"/>
        <v>1534.3919999999998</v>
      </c>
      <c r="AV29" s="223">
        <f t="shared" si="43"/>
        <v>11358.82488</v>
      </c>
      <c r="AW29" s="223">
        <f t="shared" si="43"/>
        <v>2037.08</v>
      </c>
      <c r="AX29" s="223">
        <f t="shared" si="43"/>
        <v>7787.3528799999995</v>
      </c>
      <c r="AY29" s="223">
        <f t="shared" si="43"/>
        <v>0</v>
      </c>
      <c r="AZ29" s="223">
        <f t="shared" si="43"/>
        <v>1534.3919999999998</v>
      </c>
      <c r="BA29" s="223">
        <f t="shared" si="43"/>
        <v>3497.6615000000006</v>
      </c>
      <c r="BB29" s="223">
        <f t="shared" si="43"/>
        <v>147.47</v>
      </c>
      <c r="BC29" s="223">
        <f t="shared" si="43"/>
        <v>3228.0182000000004</v>
      </c>
      <c r="BD29" s="223">
        <f t="shared" si="43"/>
        <v>0</v>
      </c>
      <c r="BE29" s="223">
        <f t="shared" si="43"/>
        <v>122.1733</v>
      </c>
      <c r="BF29" s="223">
        <f aca="true" t="shared" si="44" ref="BF29:BT29">SUM(BF30:BF43)</f>
        <v>3497.6615000000006</v>
      </c>
      <c r="BG29" s="223">
        <f t="shared" si="44"/>
        <v>147.47</v>
      </c>
      <c r="BH29" s="223">
        <f t="shared" si="44"/>
        <v>3228.0182000000004</v>
      </c>
      <c r="BI29" s="223">
        <f t="shared" si="44"/>
        <v>0</v>
      </c>
      <c r="BJ29" s="223">
        <f t="shared" si="44"/>
        <v>122.1733</v>
      </c>
      <c r="BK29" s="223">
        <f t="shared" si="44"/>
        <v>14856.486379999998</v>
      </c>
      <c r="BL29" s="223">
        <f t="shared" si="44"/>
        <v>2184.5499999999997</v>
      </c>
      <c r="BM29" s="223">
        <f t="shared" si="44"/>
        <v>11015.37108</v>
      </c>
      <c r="BN29" s="223">
        <f t="shared" si="44"/>
        <v>0</v>
      </c>
      <c r="BO29" s="223">
        <f t="shared" si="44"/>
        <v>1656.5653</v>
      </c>
      <c r="BP29" s="314">
        <f t="shared" si="44"/>
        <v>8969.160119999999</v>
      </c>
      <c r="BQ29" s="315">
        <f t="shared" si="44"/>
        <v>764.75</v>
      </c>
      <c r="BR29" s="315">
        <f t="shared" si="44"/>
        <v>8204.410119999999</v>
      </c>
      <c r="BS29" s="315">
        <f t="shared" si="44"/>
        <v>0</v>
      </c>
      <c r="BT29" s="315">
        <f t="shared" si="44"/>
        <v>0</v>
      </c>
      <c r="BV29" s="305"/>
      <c r="BW29" s="349" t="s">
        <v>284</v>
      </c>
      <c r="BY29" s="223">
        <f>SUM(BY30:BY43)</f>
        <v>135.6</v>
      </c>
      <c r="BZ29" s="223">
        <f>SUM(BZ30:BZ43)</f>
        <v>8</v>
      </c>
      <c r="CA29" s="315">
        <f>SUM(CA30:CA43)</f>
        <v>3</v>
      </c>
      <c r="CB29" s="223">
        <f>SUM(CB30:CB43)</f>
        <v>0</v>
      </c>
      <c r="CC29" s="223">
        <f>SUM(CC30:CC43)</f>
        <v>0</v>
      </c>
    </row>
    <row r="30" spans="1:81" s="256" customFormat="1" ht="15" customHeight="1" hidden="1">
      <c r="A30" s="246"/>
      <c r="B30" s="247" t="s">
        <v>18</v>
      </c>
      <c r="C30" s="232">
        <f aca="true" t="shared" si="45" ref="C30:C43">E30+D30+F30</f>
        <v>0</v>
      </c>
      <c r="D30" s="233"/>
      <c r="E30" s="232">
        <f aca="true" t="shared" si="46" ref="E30:E43">M30</f>
        <v>0</v>
      </c>
      <c r="F30" s="233"/>
      <c r="G30" s="232"/>
      <c r="H30" s="232">
        <f aca="true" t="shared" si="47" ref="H30:H43">I30+J30+K30</f>
        <v>0</v>
      </c>
      <c r="I30" s="233"/>
      <c r="J30" s="232">
        <f aca="true" t="shared" si="48" ref="J30:J43">AL30</f>
        <v>0</v>
      </c>
      <c r="K30" s="232">
        <f aca="true" t="shared" si="49" ref="K30:K43">BF30</f>
        <v>0</v>
      </c>
      <c r="L30" s="249"/>
      <c r="M30" s="248"/>
      <c r="N30" s="248"/>
      <c r="O30" s="248"/>
      <c r="P30" s="248"/>
      <c r="Q30" s="248"/>
      <c r="R30" s="250">
        <f aca="true" t="shared" si="50" ref="R30:R43">S30+T30+U30+V30</f>
        <v>0</v>
      </c>
      <c r="S30" s="248"/>
      <c r="T30" s="248"/>
      <c r="U30" s="248"/>
      <c r="V30" s="251"/>
      <c r="W30" s="252">
        <f aca="true" t="shared" si="51" ref="W30:W43">X30+Y30+Z30+AA30</f>
        <v>0</v>
      </c>
      <c r="X30" s="252">
        <f aca="true" t="shared" si="52" ref="X30:AA43">N30-S30</f>
        <v>0</v>
      </c>
      <c r="Y30" s="252">
        <f t="shared" si="52"/>
        <v>0</v>
      </c>
      <c r="Z30" s="252">
        <f t="shared" si="52"/>
        <v>0</v>
      </c>
      <c r="AA30" s="252">
        <f t="shared" si="52"/>
        <v>0</v>
      </c>
      <c r="AB30" s="252">
        <f aca="true" t="shared" si="53" ref="AB30:AB43">AC30+AD30+AE30+AF30</f>
        <v>0</v>
      </c>
      <c r="AC30" s="252"/>
      <c r="AD30" s="252">
        <f aca="true" t="shared" si="54" ref="AD30:AF43">T30</f>
        <v>0</v>
      </c>
      <c r="AE30" s="252">
        <f t="shared" si="54"/>
        <v>0</v>
      </c>
      <c r="AF30" s="252">
        <f t="shared" si="54"/>
        <v>0</v>
      </c>
      <c r="AG30" s="252">
        <f aca="true" t="shared" si="55" ref="AG30:AG43">AH30+AI30+AJ30+AK30</f>
        <v>0</v>
      </c>
      <c r="AH30" s="252"/>
      <c r="AI30" s="252"/>
      <c r="AJ30" s="252"/>
      <c r="AK30" s="253"/>
      <c r="AL30" s="250">
        <f aca="true" t="shared" si="56" ref="AL30:AL43">AM30+AN30+AO30+AP30</f>
        <v>0</v>
      </c>
      <c r="AM30" s="252"/>
      <c r="AN30" s="252">
        <f aca="true" t="shared" si="57" ref="AN30:AP43">AD30</f>
        <v>0</v>
      </c>
      <c r="AO30" s="252">
        <f t="shared" si="57"/>
        <v>0</v>
      </c>
      <c r="AP30" s="254">
        <f t="shared" si="57"/>
        <v>0</v>
      </c>
      <c r="AQ30" s="252">
        <f aca="true" t="shared" si="58" ref="AQ30:AQ40">AR30+AS30+AT30+AU30</f>
        <v>0</v>
      </c>
      <c r="AR30" s="252"/>
      <c r="AS30" s="252"/>
      <c r="AT30" s="252"/>
      <c r="AU30" s="252"/>
      <c r="AV30" s="252">
        <f aca="true" t="shared" si="59" ref="AV30:AV43">AW30+AX30+AY30+AZ30</f>
        <v>0</v>
      </c>
      <c r="AW30" s="252"/>
      <c r="AX30" s="252"/>
      <c r="AY30" s="252"/>
      <c r="AZ30" s="252"/>
      <c r="BA30" s="252">
        <f aca="true" t="shared" si="60" ref="BA30:BA43">BB30+BC30+BD30+BE30</f>
        <v>0</v>
      </c>
      <c r="BB30" s="252"/>
      <c r="BC30" s="252"/>
      <c r="BD30" s="252"/>
      <c r="BE30" s="252"/>
      <c r="BF30" s="252">
        <f aca="true" t="shared" si="61" ref="BF30:BF43">BG30+BH30+BI30+BJ30</f>
        <v>0</v>
      </c>
      <c r="BG30" s="252"/>
      <c r="BH30" s="252"/>
      <c r="BI30" s="252"/>
      <c r="BJ30" s="252"/>
      <c r="BK30" s="252">
        <f aca="true" t="shared" si="62" ref="BK30:BK43">BL30+BM30+BN30+BO30</f>
        <v>0</v>
      </c>
      <c r="BL30" s="252">
        <f aca="true" t="shared" si="63" ref="BL30:BL43">AW30+BG30</f>
        <v>0</v>
      </c>
      <c r="BM30" s="252">
        <f aca="true" t="shared" si="64" ref="BM30:BM43">AX30+BH30</f>
        <v>0</v>
      </c>
      <c r="BN30" s="252">
        <f aca="true" t="shared" si="65" ref="BN30:BN43">AY30+BI30</f>
        <v>0</v>
      </c>
      <c r="BO30" s="252">
        <f aca="true" t="shared" si="66" ref="BO30:BO43">AZ30+BJ30</f>
        <v>0</v>
      </c>
      <c r="BP30" s="318">
        <f aca="true" t="shared" si="67" ref="BP30:BP43">BQ30+BR30+BS30+BT30</f>
        <v>0</v>
      </c>
      <c r="BQ30" s="319">
        <f aca="true" t="shared" si="68" ref="BQ30:BQ43">AM30-AW30</f>
        <v>0</v>
      </c>
      <c r="BR30" s="319">
        <f aca="true" t="shared" si="69" ref="BR30:BR43">AN30-AX30</f>
        <v>0</v>
      </c>
      <c r="BS30" s="319">
        <f aca="true" t="shared" si="70" ref="BS30:BS43">AO30-AY30</f>
        <v>0</v>
      </c>
      <c r="BT30" s="319">
        <f aca="true" t="shared" si="71" ref="BT30:BT43">AP30-AZ30</f>
        <v>0</v>
      </c>
      <c r="BV30" s="306"/>
      <c r="BW30" s="333"/>
      <c r="BY30" s="252"/>
      <c r="BZ30" s="252"/>
      <c r="CA30" s="319"/>
      <c r="CB30" s="252"/>
      <c r="CC30" s="252"/>
    </row>
    <row r="31" spans="1:81" s="229" customFormat="1" ht="15" customHeight="1" hidden="1">
      <c r="A31" s="230"/>
      <c r="B31" s="239" t="s">
        <v>69</v>
      </c>
      <c r="C31" s="232">
        <f t="shared" si="45"/>
        <v>0</v>
      </c>
      <c r="D31" s="233"/>
      <c r="E31" s="232">
        <f t="shared" si="46"/>
        <v>0</v>
      </c>
      <c r="F31" s="233"/>
      <c r="G31" s="232"/>
      <c r="H31" s="232">
        <f t="shared" si="47"/>
        <v>0</v>
      </c>
      <c r="I31" s="233"/>
      <c r="J31" s="232">
        <f t="shared" si="48"/>
        <v>0</v>
      </c>
      <c r="K31" s="232">
        <f t="shared" si="49"/>
        <v>0</v>
      </c>
      <c r="L31" s="240"/>
      <c r="M31" s="232"/>
      <c r="N31" s="232"/>
      <c r="O31" s="257"/>
      <c r="P31" s="232"/>
      <c r="Q31" s="257"/>
      <c r="R31" s="234">
        <f t="shared" si="50"/>
        <v>0</v>
      </c>
      <c r="S31" s="232"/>
      <c r="T31" s="232"/>
      <c r="U31" s="232"/>
      <c r="V31" s="235"/>
      <c r="W31" s="232">
        <f t="shared" si="51"/>
        <v>0</v>
      </c>
      <c r="X31" s="232">
        <f t="shared" si="52"/>
        <v>0</v>
      </c>
      <c r="Y31" s="232">
        <f t="shared" si="52"/>
        <v>0</v>
      </c>
      <c r="Z31" s="232">
        <f t="shared" si="52"/>
        <v>0</v>
      </c>
      <c r="AA31" s="232">
        <f t="shared" si="52"/>
        <v>0</v>
      </c>
      <c r="AB31" s="232">
        <f t="shared" si="53"/>
        <v>0</v>
      </c>
      <c r="AC31" s="232"/>
      <c r="AD31" s="232">
        <f t="shared" si="54"/>
        <v>0</v>
      </c>
      <c r="AE31" s="232">
        <f t="shared" si="54"/>
        <v>0</v>
      </c>
      <c r="AF31" s="232">
        <f t="shared" si="54"/>
        <v>0</v>
      </c>
      <c r="AG31" s="232">
        <f t="shared" si="55"/>
        <v>0</v>
      </c>
      <c r="AH31" s="232"/>
      <c r="AI31" s="232"/>
      <c r="AJ31" s="232"/>
      <c r="AK31" s="236"/>
      <c r="AL31" s="234">
        <f t="shared" si="56"/>
        <v>0</v>
      </c>
      <c r="AM31" s="232"/>
      <c r="AN31" s="232">
        <f t="shared" si="57"/>
        <v>0</v>
      </c>
      <c r="AO31" s="232">
        <f t="shared" si="57"/>
        <v>0</v>
      </c>
      <c r="AP31" s="235">
        <f t="shared" si="57"/>
        <v>0</v>
      </c>
      <c r="AQ31" s="232">
        <f t="shared" si="58"/>
        <v>0</v>
      </c>
      <c r="AR31" s="232"/>
      <c r="AS31" s="232"/>
      <c r="AT31" s="232"/>
      <c r="AU31" s="232"/>
      <c r="AV31" s="232">
        <f t="shared" si="59"/>
        <v>0</v>
      </c>
      <c r="AW31" s="232"/>
      <c r="AX31" s="232"/>
      <c r="AY31" s="232"/>
      <c r="AZ31" s="232"/>
      <c r="BA31" s="232">
        <f t="shared" si="60"/>
        <v>0</v>
      </c>
      <c r="BB31" s="232"/>
      <c r="BC31" s="232"/>
      <c r="BD31" s="232"/>
      <c r="BE31" s="232"/>
      <c r="BF31" s="232">
        <f t="shared" si="61"/>
        <v>0</v>
      </c>
      <c r="BG31" s="232"/>
      <c r="BH31" s="232"/>
      <c r="BI31" s="232"/>
      <c r="BJ31" s="232"/>
      <c r="BK31" s="232">
        <f t="shared" si="62"/>
        <v>0</v>
      </c>
      <c r="BL31" s="232">
        <f t="shared" si="63"/>
        <v>0</v>
      </c>
      <c r="BM31" s="232">
        <f t="shared" si="64"/>
        <v>0</v>
      </c>
      <c r="BN31" s="232">
        <f t="shared" si="65"/>
        <v>0</v>
      </c>
      <c r="BO31" s="232">
        <f t="shared" si="66"/>
        <v>0</v>
      </c>
      <c r="BP31" s="316">
        <f t="shared" si="67"/>
        <v>0</v>
      </c>
      <c r="BQ31" s="317">
        <f t="shared" si="68"/>
        <v>0</v>
      </c>
      <c r="BR31" s="317">
        <f t="shared" si="69"/>
        <v>0</v>
      </c>
      <c r="BS31" s="317">
        <f t="shared" si="70"/>
        <v>0</v>
      </c>
      <c r="BT31" s="317">
        <f t="shared" si="71"/>
        <v>0</v>
      </c>
      <c r="BV31" s="305"/>
      <c r="BW31" s="332"/>
      <c r="BY31" s="232"/>
      <c r="BZ31" s="232"/>
      <c r="CA31" s="317"/>
      <c r="CB31" s="232"/>
      <c r="CC31" s="232"/>
    </row>
    <row r="32" spans="1:81" s="229" customFormat="1" ht="15.75" customHeight="1">
      <c r="A32" s="230">
        <v>21</v>
      </c>
      <c r="B32" s="239" t="s">
        <v>70</v>
      </c>
      <c r="C32" s="232">
        <f t="shared" si="45"/>
        <v>7631.077</v>
      </c>
      <c r="D32" s="233"/>
      <c r="E32" s="232">
        <f t="shared" si="46"/>
        <v>7631.077</v>
      </c>
      <c r="F32" s="233"/>
      <c r="G32" s="232"/>
      <c r="H32" s="232">
        <f t="shared" si="47"/>
        <v>8047.485639999999</v>
      </c>
      <c r="I32" s="233"/>
      <c r="J32" s="232">
        <f t="shared" si="48"/>
        <v>7631.076999999999</v>
      </c>
      <c r="K32" s="232">
        <f t="shared" si="49"/>
        <v>416.40864</v>
      </c>
      <c r="L32" s="240"/>
      <c r="M32" s="232">
        <f t="shared" si="18"/>
        <v>7631.077</v>
      </c>
      <c r="N32" s="232"/>
      <c r="O32" s="232">
        <v>7631.077</v>
      </c>
      <c r="P32" s="232"/>
      <c r="Q32" s="232"/>
      <c r="R32" s="234">
        <f t="shared" si="50"/>
        <v>7631.076999999999</v>
      </c>
      <c r="S32" s="232"/>
      <c r="T32" s="232">
        <f>4086.026+3545.051</f>
        <v>7631.076999999999</v>
      </c>
      <c r="U32" s="232"/>
      <c r="V32" s="235"/>
      <c r="W32" s="232">
        <f t="shared" si="51"/>
        <v>0</v>
      </c>
      <c r="X32" s="232">
        <f t="shared" si="52"/>
        <v>0</v>
      </c>
      <c r="Y32" s="232">
        <f t="shared" si="52"/>
        <v>0</v>
      </c>
      <c r="Z32" s="232">
        <f t="shared" si="52"/>
        <v>0</v>
      </c>
      <c r="AA32" s="232">
        <f t="shared" si="52"/>
        <v>0</v>
      </c>
      <c r="AB32" s="232">
        <f t="shared" si="53"/>
        <v>7631.076999999999</v>
      </c>
      <c r="AC32" s="232"/>
      <c r="AD32" s="232">
        <f t="shared" si="54"/>
        <v>7631.076999999999</v>
      </c>
      <c r="AE32" s="232">
        <f t="shared" si="54"/>
        <v>0</v>
      </c>
      <c r="AF32" s="232">
        <f t="shared" si="54"/>
        <v>0</v>
      </c>
      <c r="AG32" s="232">
        <f t="shared" si="55"/>
        <v>0</v>
      </c>
      <c r="AH32" s="232"/>
      <c r="AI32" s="232"/>
      <c r="AJ32" s="232"/>
      <c r="AK32" s="236"/>
      <c r="AL32" s="234">
        <f t="shared" si="56"/>
        <v>7631.076999999999</v>
      </c>
      <c r="AM32" s="232"/>
      <c r="AN32" s="232">
        <f t="shared" si="57"/>
        <v>7631.076999999999</v>
      </c>
      <c r="AO32" s="232">
        <f t="shared" si="57"/>
        <v>0</v>
      </c>
      <c r="AP32" s="235">
        <f t="shared" si="57"/>
        <v>0</v>
      </c>
      <c r="AQ32" s="232">
        <f t="shared" si="58"/>
        <v>677.504</v>
      </c>
      <c r="AR32" s="232"/>
      <c r="AS32" s="232">
        <v>677.504</v>
      </c>
      <c r="AT32" s="232"/>
      <c r="AU32" s="232"/>
      <c r="AV32" s="232">
        <f t="shared" si="59"/>
        <v>677.504</v>
      </c>
      <c r="AW32" s="232"/>
      <c r="AX32" s="232">
        <v>677.504</v>
      </c>
      <c r="AY32" s="232"/>
      <c r="AZ32" s="232"/>
      <c r="BA32" s="232">
        <f t="shared" si="60"/>
        <v>416.40864</v>
      </c>
      <c r="BB32" s="232"/>
      <c r="BC32" s="232">
        <v>416.40864</v>
      </c>
      <c r="BD32" s="232"/>
      <c r="BE32" s="232"/>
      <c r="BF32" s="232">
        <f t="shared" si="61"/>
        <v>416.40864</v>
      </c>
      <c r="BG32" s="232"/>
      <c r="BH32" s="232">
        <v>416.40864</v>
      </c>
      <c r="BI32" s="232"/>
      <c r="BJ32" s="232"/>
      <c r="BK32" s="232">
        <f t="shared" si="62"/>
        <v>1093.91264</v>
      </c>
      <c r="BL32" s="232">
        <f t="shared" si="63"/>
        <v>0</v>
      </c>
      <c r="BM32" s="232">
        <f t="shared" si="64"/>
        <v>1093.91264</v>
      </c>
      <c r="BN32" s="232">
        <f t="shared" si="65"/>
        <v>0</v>
      </c>
      <c r="BO32" s="232">
        <f t="shared" si="66"/>
        <v>0</v>
      </c>
      <c r="BP32" s="316">
        <f t="shared" si="67"/>
        <v>6953.572999999999</v>
      </c>
      <c r="BQ32" s="317">
        <f t="shared" si="68"/>
        <v>0</v>
      </c>
      <c r="BR32" s="317">
        <f t="shared" si="69"/>
        <v>6953.572999999999</v>
      </c>
      <c r="BS32" s="317">
        <f t="shared" si="70"/>
        <v>0</v>
      </c>
      <c r="BT32" s="317">
        <f t="shared" si="71"/>
        <v>0</v>
      </c>
      <c r="BV32" s="305">
        <v>1</v>
      </c>
      <c r="BW32" s="332" t="s">
        <v>229</v>
      </c>
      <c r="BY32" s="232"/>
      <c r="BZ32" s="232"/>
      <c r="CA32" s="317">
        <v>1</v>
      </c>
      <c r="CB32" s="232"/>
      <c r="CC32" s="232"/>
    </row>
    <row r="33" spans="1:81" s="229" customFormat="1" ht="24" customHeight="1">
      <c r="A33" s="230">
        <v>22</v>
      </c>
      <c r="B33" s="239" t="s">
        <v>71</v>
      </c>
      <c r="C33" s="232">
        <f t="shared" si="45"/>
        <v>682.443</v>
      </c>
      <c r="D33" s="233"/>
      <c r="E33" s="232">
        <f t="shared" si="46"/>
        <v>682.443</v>
      </c>
      <c r="F33" s="233"/>
      <c r="G33" s="232"/>
      <c r="H33" s="232">
        <f t="shared" si="47"/>
        <v>806.519</v>
      </c>
      <c r="I33" s="233"/>
      <c r="J33" s="232">
        <f t="shared" si="48"/>
        <v>682.443</v>
      </c>
      <c r="K33" s="232">
        <f t="shared" si="49"/>
        <v>124.076</v>
      </c>
      <c r="L33" s="240"/>
      <c r="M33" s="232">
        <f t="shared" si="18"/>
        <v>682.443</v>
      </c>
      <c r="N33" s="232"/>
      <c r="O33" s="232">
        <v>682.443</v>
      </c>
      <c r="P33" s="232"/>
      <c r="Q33" s="232"/>
      <c r="R33" s="234">
        <f t="shared" si="50"/>
        <v>682.443</v>
      </c>
      <c r="S33" s="232"/>
      <c r="T33" s="232">
        <f>365.411+317.032</f>
        <v>682.443</v>
      </c>
      <c r="U33" s="232"/>
      <c r="V33" s="235"/>
      <c r="W33" s="232">
        <f t="shared" si="51"/>
        <v>0</v>
      </c>
      <c r="X33" s="232">
        <f t="shared" si="52"/>
        <v>0</v>
      </c>
      <c r="Y33" s="232">
        <f t="shared" si="52"/>
        <v>0</v>
      </c>
      <c r="Z33" s="232">
        <f t="shared" si="52"/>
        <v>0</v>
      </c>
      <c r="AA33" s="232">
        <f t="shared" si="52"/>
        <v>0</v>
      </c>
      <c r="AB33" s="232">
        <f t="shared" si="53"/>
        <v>682.443</v>
      </c>
      <c r="AC33" s="232"/>
      <c r="AD33" s="232">
        <f t="shared" si="54"/>
        <v>682.443</v>
      </c>
      <c r="AE33" s="232">
        <f t="shared" si="54"/>
        <v>0</v>
      </c>
      <c r="AF33" s="232">
        <f t="shared" si="54"/>
        <v>0</v>
      </c>
      <c r="AG33" s="232">
        <f t="shared" si="55"/>
        <v>0</v>
      </c>
      <c r="AH33" s="232"/>
      <c r="AI33" s="232"/>
      <c r="AJ33" s="232"/>
      <c r="AK33" s="236"/>
      <c r="AL33" s="234">
        <f t="shared" si="56"/>
        <v>682.443</v>
      </c>
      <c r="AM33" s="232"/>
      <c r="AN33" s="232">
        <f t="shared" si="57"/>
        <v>682.443</v>
      </c>
      <c r="AO33" s="232">
        <f t="shared" si="57"/>
        <v>0</v>
      </c>
      <c r="AP33" s="235">
        <f t="shared" si="57"/>
        <v>0</v>
      </c>
      <c r="AQ33" s="232">
        <f t="shared" si="58"/>
        <v>568.4967</v>
      </c>
      <c r="AR33" s="232"/>
      <c r="AS33" s="232">
        <f>248.8881+319.6086</f>
        <v>568.4967</v>
      </c>
      <c r="AT33" s="232"/>
      <c r="AU33" s="232"/>
      <c r="AV33" s="232">
        <f t="shared" si="59"/>
        <v>568.4967</v>
      </c>
      <c r="AW33" s="232"/>
      <c r="AX33" s="232">
        <f>248.8881+319.6086</f>
        <v>568.4967</v>
      </c>
      <c r="AY33" s="232"/>
      <c r="AZ33" s="232"/>
      <c r="BA33" s="232">
        <f t="shared" si="60"/>
        <v>124.076</v>
      </c>
      <c r="BB33" s="232"/>
      <c r="BC33" s="232">
        <v>124.076</v>
      </c>
      <c r="BD33" s="232"/>
      <c r="BE33" s="232"/>
      <c r="BF33" s="232">
        <f t="shared" si="61"/>
        <v>124.076</v>
      </c>
      <c r="BG33" s="232"/>
      <c r="BH33" s="232">
        <v>124.076</v>
      </c>
      <c r="BI33" s="232"/>
      <c r="BJ33" s="232"/>
      <c r="BK33" s="232">
        <f t="shared" si="62"/>
        <v>692.5727</v>
      </c>
      <c r="BL33" s="232">
        <f t="shared" si="63"/>
        <v>0</v>
      </c>
      <c r="BM33" s="232">
        <f t="shared" si="64"/>
        <v>692.5727</v>
      </c>
      <c r="BN33" s="232">
        <f t="shared" si="65"/>
        <v>0</v>
      </c>
      <c r="BO33" s="232">
        <f t="shared" si="66"/>
        <v>0</v>
      </c>
      <c r="BP33" s="316">
        <f t="shared" si="67"/>
        <v>113.94629999999995</v>
      </c>
      <c r="BQ33" s="317">
        <f t="shared" si="68"/>
        <v>0</v>
      </c>
      <c r="BR33" s="317">
        <f t="shared" si="69"/>
        <v>113.94629999999995</v>
      </c>
      <c r="BS33" s="317">
        <f t="shared" si="70"/>
        <v>0</v>
      </c>
      <c r="BT33" s="317">
        <f t="shared" si="71"/>
        <v>0</v>
      </c>
      <c r="BU33" s="229">
        <v>1</v>
      </c>
      <c r="BV33" s="305"/>
      <c r="BW33" s="331" t="s">
        <v>269</v>
      </c>
      <c r="BY33" s="232">
        <v>113.9</v>
      </c>
      <c r="BZ33" s="232">
        <v>1</v>
      </c>
      <c r="CA33" s="317"/>
      <c r="CB33" s="232"/>
      <c r="CC33" s="232"/>
    </row>
    <row r="34" spans="1:81" s="229" customFormat="1" ht="22.5" customHeight="1">
      <c r="A34" s="230">
        <v>23</v>
      </c>
      <c r="B34" s="239" t="s">
        <v>72</v>
      </c>
      <c r="C34" s="232">
        <f t="shared" si="45"/>
        <v>1100.943</v>
      </c>
      <c r="D34" s="233"/>
      <c r="E34" s="232">
        <f t="shared" si="46"/>
        <v>1100.943</v>
      </c>
      <c r="F34" s="233"/>
      <c r="G34" s="232"/>
      <c r="H34" s="232">
        <f t="shared" si="47"/>
        <v>1100.943</v>
      </c>
      <c r="I34" s="233"/>
      <c r="J34" s="232">
        <f t="shared" si="48"/>
        <v>1100.943</v>
      </c>
      <c r="K34" s="232">
        <f t="shared" si="49"/>
        <v>0</v>
      </c>
      <c r="L34" s="240"/>
      <c r="M34" s="232">
        <f t="shared" si="18"/>
        <v>1100.943</v>
      </c>
      <c r="N34" s="232"/>
      <c r="O34" s="232">
        <v>1100.943</v>
      </c>
      <c r="P34" s="232"/>
      <c r="Q34" s="232"/>
      <c r="R34" s="234">
        <f t="shared" si="50"/>
        <v>1100.943</v>
      </c>
      <c r="S34" s="232"/>
      <c r="T34" s="232">
        <v>1100.943</v>
      </c>
      <c r="U34" s="232"/>
      <c r="V34" s="235"/>
      <c r="W34" s="232">
        <f t="shared" si="51"/>
        <v>0</v>
      </c>
      <c r="X34" s="232">
        <f t="shared" si="52"/>
        <v>0</v>
      </c>
      <c r="Y34" s="232">
        <f t="shared" si="52"/>
        <v>0</v>
      </c>
      <c r="Z34" s="232">
        <f t="shared" si="52"/>
        <v>0</v>
      </c>
      <c r="AA34" s="232">
        <f t="shared" si="52"/>
        <v>0</v>
      </c>
      <c r="AB34" s="232">
        <f t="shared" si="53"/>
        <v>1100.943</v>
      </c>
      <c r="AC34" s="232"/>
      <c r="AD34" s="232">
        <f t="shared" si="54"/>
        <v>1100.943</v>
      </c>
      <c r="AE34" s="232">
        <f t="shared" si="54"/>
        <v>0</v>
      </c>
      <c r="AF34" s="232">
        <f t="shared" si="54"/>
        <v>0</v>
      </c>
      <c r="AG34" s="232">
        <f t="shared" si="55"/>
        <v>0</v>
      </c>
      <c r="AH34" s="232"/>
      <c r="AI34" s="232"/>
      <c r="AJ34" s="232"/>
      <c r="AK34" s="236"/>
      <c r="AL34" s="234">
        <f t="shared" si="56"/>
        <v>1100.943</v>
      </c>
      <c r="AM34" s="232"/>
      <c r="AN34" s="232">
        <f t="shared" si="57"/>
        <v>1100.943</v>
      </c>
      <c r="AO34" s="232">
        <f t="shared" si="57"/>
        <v>0</v>
      </c>
      <c r="AP34" s="235">
        <f t="shared" si="57"/>
        <v>0</v>
      </c>
      <c r="AQ34" s="232">
        <f t="shared" si="58"/>
        <v>0</v>
      </c>
      <c r="AR34" s="232"/>
      <c r="AS34" s="232"/>
      <c r="AT34" s="232"/>
      <c r="AU34" s="232"/>
      <c r="AV34" s="232">
        <f t="shared" si="59"/>
        <v>0</v>
      </c>
      <c r="AW34" s="232"/>
      <c r="AX34" s="232"/>
      <c r="AY34" s="232"/>
      <c r="AZ34" s="232"/>
      <c r="BA34" s="232">
        <f t="shared" si="60"/>
        <v>0</v>
      </c>
      <c r="BB34" s="232"/>
      <c r="BC34" s="232">
        <v>0</v>
      </c>
      <c r="BD34" s="232"/>
      <c r="BE34" s="232"/>
      <c r="BF34" s="232">
        <f t="shared" si="61"/>
        <v>0</v>
      </c>
      <c r="BG34" s="232"/>
      <c r="BH34" s="232">
        <v>0</v>
      </c>
      <c r="BI34" s="232"/>
      <c r="BJ34" s="232"/>
      <c r="BK34" s="232">
        <f t="shared" si="62"/>
        <v>0</v>
      </c>
      <c r="BL34" s="232">
        <f t="shared" si="63"/>
        <v>0</v>
      </c>
      <c r="BM34" s="232">
        <f t="shared" si="64"/>
        <v>0</v>
      </c>
      <c r="BN34" s="232">
        <f t="shared" si="65"/>
        <v>0</v>
      </c>
      <c r="BO34" s="232">
        <f t="shared" si="66"/>
        <v>0</v>
      </c>
      <c r="BP34" s="316">
        <f t="shared" si="67"/>
        <v>1100.943</v>
      </c>
      <c r="BQ34" s="317">
        <f t="shared" si="68"/>
        <v>0</v>
      </c>
      <c r="BR34" s="317">
        <f t="shared" si="69"/>
        <v>1100.943</v>
      </c>
      <c r="BS34" s="317">
        <f t="shared" si="70"/>
        <v>0</v>
      </c>
      <c r="BT34" s="317">
        <f t="shared" si="71"/>
        <v>0</v>
      </c>
      <c r="BV34" s="305">
        <v>1</v>
      </c>
      <c r="BW34" s="332" t="s">
        <v>229</v>
      </c>
      <c r="BY34" s="232"/>
      <c r="BZ34" s="232"/>
      <c r="CA34" s="317">
        <v>1</v>
      </c>
      <c r="CB34" s="232"/>
      <c r="CC34" s="232"/>
    </row>
    <row r="35" spans="1:81" s="229" customFormat="1" ht="15" customHeight="1">
      <c r="A35" s="230">
        <v>24</v>
      </c>
      <c r="B35" s="239" t="s">
        <v>73</v>
      </c>
      <c r="C35" s="232">
        <f t="shared" si="45"/>
        <v>2352.777</v>
      </c>
      <c r="D35" s="233"/>
      <c r="E35" s="232">
        <f t="shared" si="46"/>
        <v>2352.777</v>
      </c>
      <c r="F35" s="233"/>
      <c r="G35" s="232"/>
      <c r="H35" s="232">
        <f t="shared" si="47"/>
        <v>2698.96141</v>
      </c>
      <c r="I35" s="233"/>
      <c r="J35" s="232">
        <f t="shared" si="48"/>
        <v>2352.777</v>
      </c>
      <c r="K35" s="232">
        <f t="shared" si="49"/>
        <v>346.18441</v>
      </c>
      <c r="L35" s="240"/>
      <c r="M35" s="232">
        <f t="shared" si="18"/>
        <v>2352.777</v>
      </c>
      <c r="N35" s="232"/>
      <c r="O35" s="232">
        <v>1259.784</v>
      </c>
      <c r="P35" s="232"/>
      <c r="Q35" s="232">
        <v>1092.993</v>
      </c>
      <c r="R35" s="234">
        <f t="shared" si="50"/>
        <v>2352.777</v>
      </c>
      <c r="S35" s="232"/>
      <c r="T35" s="232">
        <v>1259.784</v>
      </c>
      <c r="U35" s="232"/>
      <c r="V35" s="235">
        <v>1092.993</v>
      </c>
      <c r="W35" s="232">
        <f t="shared" si="51"/>
        <v>0</v>
      </c>
      <c r="X35" s="232">
        <f t="shared" si="52"/>
        <v>0</v>
      </c>
      <c r="Y35" s="232">
        <f t="shared" si="52"/>
        <v>0</v>
      </c>
      <c r="Z35" s="232">
        <f t="shared" si="52"/>
        <v>0</v>
      </c>
      <c r="AA35" s="232">
        <f t="shared" si="52"/>
        <v>0</v>
      </c>
      <c r="AB35" s="232">
        <f t="shared" si="53"/>
        <v>2352.777</v>
      </c>
      <c r="AC35" s="232"/>
      <c r="AD35" s="232">
        <f t="shared" si="54"/>
        <v>1259.784</v>
      </c>
      <c r="AE35" s="232">
        <f t="shared" si="54"/>
        <v>0</v>
      </c>
      <c r="AF35" s="232">
        <f t="shared" si="54"/>
        <v>1092.993</v>
      </c>
      <c r="AG35" s="232">
        <f t="shared" si="55"/>
        <v>0</v>
      </c>
      <c r="AH35" s="232"/>
      <c r="AI35" s="232"/>
      <c r="AJ35" s="232"/>
      <c r="AK35" s="236"/>
      <c r="AL35" s="234">
        <f t="shared" si="56"/>
        <v>2352.777</v>
      </c>
      <c r="AM35" s="232"/>
      <c r="AN35" s="232">
        <f t="shared" si="57"/>
        <v>1259.784</v>
      </c>
      <c r="AO35" s="232">
        <f t="shared" si="57"/>
        <v>0</v>
      </c>
      <c r="AP35" s="235">
        <f t="shared" si="57"/>
        <v>1092.993</v>
      </c>
      <c r="AQ35" s="232">
        <f t="shared" si="58"/>
        <v>2352.777</v>
      </c>
      <c r="AR35" s="232"/>
      <c r="AS35" s="232">
        <v>1259.784</v>
      </c>
      <c r="AT35" s="232"/>
      <c r="AU35" s="232">
        <f>584.698+508.295</f>
        <v>1092.993</v>
      </c>
      <c r="AV35" s="232">
        <f t="shared" si="59"/>
        <v>2352.777</v>
      </c>
      <c r="AW35" s="232"/>
      <c r="AX35" s="232">
        <v>1259.784</v>
      </c>
      <c r="AY35" s="232"/>
      <c r="AZ35" s="232">
        <f>584.698+508.295</f>
        <v>1092.993</v>
      </c>
      <c r="BA35" s="232">
        <f t="shared" si="60"/>
        <v>346.18441</v>
      </c>
      <c r="BB35" s="232"/>
      <c r="BC35" s="232">
        <v>249.38225</v>
      </c>
      <c r="BD35" s="232"/>
      <c r="BE35" s="232">
        <v>96.80216</v>
      </c>
      <c r="BF35" s="232">
        <f t="shared" si="61"/>
        <v>346.18441</v>
      </c>
      <c r="BG35" s="232"/>
      <c r="BH35" s="232">
        <v>249.38225</v>
      </c>
      <c r="BI35" s="232"/>
      <c r="BJ35" s="232">
        <v>96.80216</v>
      </c>
      <c r="BK35" s="232">
        <f t="shared" si="62"/>
        <v>2698.96141</v>
      </c>
      <c r="BL35" s="232">
        <f t="shared" si="63"/>
        <v>0</v>
      </c>
      <c r="BM35" s="232">
        <f t="shared" si="64"/>
        <v>1509.1662500000002</v>
      </c>
      <c r="BN35" s="232">
        <f t="shared" si="65"/>
        <v>0</v>
      </c>
      <c r="BO35" s="232">
        <f t="shared" si="66"/>
        <v>1189.79516</v>
      </c>
      <c r="BP35" s="316">
        <f t="shared" si="67"/>
        <v>0</v>
      </c>
      <c r="BQ35" s="317">
        <f t="shared" si="68"/>
        <v>0</v>
      </c>
      <c r="BR35" s="317">
        <f t="shared" si="69"/>
        <v>0</v>
      </c>
      <c r="BS35" s="317">
        <f t="shared" si="70"/>
        <v>0</v>
      </c>
      <c r="BT35" s="317">
        <f t="shared" si="71"/>
        <v>0</v>
      </c>
      <c r="BU35" s="229">
        <v>1</v>
      </c>
      <c r="BV35" s="305"/>
      <c r="BW35" s="331" t="s">
        <v>228</v>
      </c>
      <c r="BY35" s="232"/>
      <c r="BZ35" s="232">
        <v>1</v>
      </c>
      <c r="CA35" s="317"/>
      <c r="CB35" s="232"/>
      <c r="CC35" s="232"/>
    </row>
    <row r="36" spans="1:81" s="229" customFormat="1" ht="15" customHeight="1">
      <c r="A36" s="230">
        <v>25</v>
      </c>
      <c r="B36" s="239" t="s">
        <v>74</v>
      </c>
      <c r="C36" s="232">
        <f t="shared" si="45"/>
        <v>1561.927</v>
      </c>
      <c r="D36" s="233"/>
      <c r="E36" s="232">
        <f t="shared" si="46"/>
        <v>1561.927</v>
      </c>
      <c r="F36" s="233"/>
      <c r="G36" s="232"/>
      <c r="H36" s="232">
        <f t="shared" si="47"/>
        <v>3463.443</v>
      </c>
      <c r="I36" s="233"/>
      <c r="J36" s="232">
        <f t="shared" si="48"/>
        <v>1561.9270000000001</v>
      </c>
      <c r="K36" s="232">
        <f t="shared" si="49"/>
        <v>1901.516</v>
      </c>
      <c r="L36" s="240"/>
      <c r="M36" s="232">
        <f t="shared" si="18"/>
        <v>1561.927</v>
      </c>
      <c r="N36" s="232"/>
      <c r="O36" s="232">
        <v>1561.927</v>
      </c>
      <c r="P36" s="232"/>
      <c r="Q36" s="232"/>
      <c r="R36" s="234">
        <f t="shared" si="50"/>
        <v>1561.9270000000001</v>
      </c>
      <c r="S36" s="232"/>
      <c r="T36" s="232">
        <f>836.327+725.6</f>
        <v>1561.9270000000001</v>
      </c>
      <c r="U36" s="232"/>
      <c r="V36" s="235"/>
      <c r="W36" s="232">
        <f t="shared" si="51"/>
        <v>0</v>
      </c>
      <c r="X36" s="232">
        <f t="shared" si="52"/>
        <v>0</v>
      </c>
      <c r="Y36" s="232">
        <f t="shared" si="52"/>
        <v>0</v>
      </c>
      <c r="Z36" s="232">
        <f t="shared" si="52"/>
        <v>0</v>
      </c>
      <c r="AA36" s="232">
        <f t="shared" si="52"/>
        <v>0</v>
      </c>
      <c r="AB36" s="232">
        <f t="shared" si="53"/>
        <v>1561.9270000000001</v>
      </c>
      <c r="AC36" s="232"/>
      <c r="AD36" s="232">
        <f t="shared" si="54"/>
        <v>1561.9270000000001</v>
      </c>
      <c r="AE36" s="232">
        <f t="shared" si="54"/>
        <v>0</v>
      </c>
      <c r="AF36" s="232">
        <f t="shared" si="54"/>
        <v>0</v>
      </c>
      <c r="AG36" s="232">
        <f t="shared" si="55"/>
        <v>0</v>
      </c>
      <c r="AH36" s="232"/>
      <c r="AI36" s="232"/>
      <c r="AJ36" s="232"/>
      <c r="AK36" s="236"/>
      <c r="AL36" s="234">
        <f t="shared" si="56"/>
        <v>1561.9270000000001</v>
      </c>
      <c r="AM36" s="232"/>
      <c r="AN36" s="232">
        <f t="shared" si="57"/>
        <v>1561.9270000000001</v>
      </c>
      <c r="AO36" s="232">
        <f t="shared" si="57"/>
        <v>0</v>
      </c>
      <c r="AP36" s="235">
        <f t="shared" si="57"/>
        <v>0</v>
      </c>
      <c r="AQ36" s="232">
        <f t="shared" si="58"/>
        <v>1561.9270000000001</v>
      </c>
      <c r="AR36" s="232"/>
      <c r="AS36" s="232">
        <v>1561.9270000000001</v>
      </c>
      <c r="AT36" s="232"/>
      <c r="AU36" s="232"/>
      <c r="AV36" s="232">
        <f t="shared" si="59"/>
        <v>1561.9270000000001</v>
      </c>
      <c r="AW36" s="232"/>
      <c r="AX36" s="232">
        <v>1561.9270000000001</v>
      </c>
      <c r="AY36" s="232"/>
      <c r="AZ36" s="232"/>
      <c r="BA36" s="232">
        <f t="shared" si="60"/>
        <v>1901.516</v>
      </c>
      <c r="BB36" s="232"/>
      <c r="BC36" s="232">
        <v>1901.516</v>
      </c>
      <c r="BD36" s="232"/>
      <c r="BE36" s="232"/>
      <c r="BF36" s="232">
        <f t="shared" si="61"/>
        <v>1901.516</v>
      </c>
      <c r="BG36" s="232"/>
      <c r="BH36" s="232">
        <v>1901.516</v>
      </c>
      <c r="BI36" s="232"/>
      <c r="BJ36" s="232"/>
      <c r="BK36" s="232">
        <f t="shared" si="62"/>
        <v>3463.443</v>
      </c>
      <c r="BL36" s="232">
        <f t="shared" si="63"/>
        <v>0</v>
      </c>
      <c r="BM36" s="232">
        <f t="shared" si="64"/>
        <v>3463.443</v>
      </c>
      <c r="BN36" s="232">
        <f t="shared" si="65"/>
        <v>0</v>
      </c>
      <c r="BO36" s="232">
        <f t="shared" si="66"/>
        <v>0</v>
      </c>
      <c r="BP36" s="316">
        <f t="shared" si="67"/>
        <v>0</v>
      </c>
      <c r="BQ36" s="317">
        <f t="shared" si="68"/>
        <v>0</v>
      </c>
      <c r="BR36" s="317">
        <f t="shared" si="69"/>
        <v>0</v>
      </c>
      <c r="BS36" s="317">
        <f t="shared" si="70"/>
        <v>0</v>
      </c>
      <c r="BT36" s="317">
        <f t="shared" si="71"/>
        <v>0</v>
      </c>
      <c r="BU36" s="229">
        <v>1</v>
      </c>
      <c r="BV36" s="305"/>
      <c r="BW36" s="331" t="s">
        <v>228</v>
      </c>
      <c r="BY36" s="232"/>
      <c r="BZ36" s="232">
        <v>1</v>
      </c>
      <c r="CA36" s="317"/>
      <c r="CB36" s="232"/>
      <c r="CC36" s="232"/>
    </row>
    <row r="37" spans="1:81" s="229" customFormat="1" ht="15" customHeight="1">
      <c r="A37" s="230">
        <v>26</v>
      </c>
      <c r="B37" s="239" t="s">
        <v>75</v>
      </c>
      <c r="C37" s="232">
        <f t="shared" si="45"/>
        <v>614.302</v>
      </c>
      <c r="D37" s="233"/>
      <c r="E37" s="232">
        <f t="shared" si="46"/>
        <v>614.302</v>
      </c>
      <c r="F37" s="233"/>
      <c r="G37" s="232"/>
      <c r="H37" s="232">
        <f t="shared" si="47"/>
        <v>654.4300000000001</v>
      </c>
      <c r="I37" s="233"/>
      <c r="J37" s="232">
        <f t="shared" si="48"/>
        <v>614.302</v>
      </c>
      <c r="K37" s="232">
        <f t="shared" si="49"/>
        <v>40.128</v>
      </c>
      <c r="L37" s="240"/>
      <c r="M37" s="232">
        <f t="shared" si="18"/>
        <v>614.302</v>
      </c>
      <c r="N37" s="232"/>
      <c r="O37" s="232">
        <v>614.302</v>
      </c>
      <c r="P37" s="232"/>
      <c r="Q37" s="232"/>
      <c r="R37" s="234">
        <f t="shared" si="50"/>
        <v>614.302</v>
      </c>
      <c r="S37" s="232"/>
      <c r="T37" s="232">
        <v>614.302</v>
      </c>
      <c r="U37" s="232"/>
      <c r="V37" s="235"/>
      <c r="W37" s="232">
        <f t="shared" si="51"/>
        <v>0</v>
      </c>
      <c r="X37" s="232">
        <f t="shared" si="52"/>
        <v>0</v>
      </c>
      <c r="Y37" s="232">
        <f t="shared" si="52"/>
        <v>0</v>
      </c>
      <c r="Z37" s="232">
        <f t="shared" si="52"/>
        <v>0</v>
      </c>
      <c r="AA37" s="232">
        <f t="shared" si="52"/>
        <v>0</v>
      </c>
      <c r="AB37" s="232">
        <f t="shared" si="53"/>
        <v>614.302</v>
      </c>
      <c r="AC37" s="232"/>
      <c r="AD37" s="232">
        <f t="shared" si="54"/>
        <v>614.302</v>
      </c>
      <c r="AE37" s="232">
        <f t="shared" si="54"/>
        <v>0</v>
      </c>
      <c r="AF37" s="232">
        <f t="shared" si="54"/>
        <v>0</v>
      </c>
      <c r="AG37" s="232">
        <f t="shared" si="55"/>
        <v>0</v>
      </c>
      <c r="AH37" s="232"/>
      <c r="AI37" s="232"/>
      <c r="AJ37" s="232"/>
      <c r="AK37" s="236"/>
      <c r="AL37" s="234">
        <f t="shared" si="56"/>
        <v>614.302</v>
      </c>
      <c r="AM37" s="232"/>
      <c r="AN37" s="232">
        <f t="shared" si="57"/>
        <v>614.302</v>
      </c>
      <c r="AO37" s="232">
        <f t="shared" si="57"/>
        <v>0</v>
      </c>
      <c r="AP37" s="235">
        <f t="shared" si="57"/>
        <v>0</v>
      </c>
      <c r="AQ37" s="232">
        <f t="shared" si="58"/>
        <v>614.302</v>
      </c>
      <c r="AR37" s="232"/>
      <c r="AS37" s="232">
        <v>614.302</v>
      </c>
      <c r="AT37" s="232"/>
      <c r="AU37" s="232"/>
      <c r="AV37" s="232">
        <f t="shared" si="59"/>
        <v>614.302</v>
      </c>
      <c r="AW37" s="232"/>
      <c r="AX37" s="232">
        <v>614.302</v>
      </c>
      <c r="AY37" s="232"/>
      <c r="AZ37" s="232"/>
      <c r="BA37" s="232">
        <f t="shared" si="60"/>
        <v>40.128</v>
      </c>
      <c r="BB37" s="232"/>
      <c r="BC37" s="232">
        <v>40.128</v>
      </c>
      <c r="BD37" s="232"/>
      <c r="BE37" s="232"/>
      <c r="BF37" s="232">
        <f t="shared" si="61"/>
        <v>40.128</v>
      </c>
      <c r="BG37" s="232"/>
      <c r="BH37" s="232">
        <v>40.128</v>
      </c>
      <c r="BI37" s="232"/>
      <c r="BJ37" s="232"/>
      <c r="BK37" s="232">
        <f t="shared" si="62"/>
        <v>654.4300000000001</v>
      </c>
      <c r="BL37" s="232">
        <f t="shared" si="63"/>
        <v>0</v>
      </c>
      <c r="BM37" s="232">
        <f t="shared" si="64"/>
        <v>654.4300000000001</v>
      </c>
      <c r="BN37" s="232">
        <f t="shared" si="65"/>
        <v>0</v>
      </c>
      <c r="BO37" s="232">
        <f t="shared" si="66"/>
        <v>0</v>
      </c>
      <c r="BP37" s="316">
        <f t="shared" si="67"/>
        <v>0</v>
      </c>
      <c r="BQ37" s="317">
        <f t="shared" si="68"/>
        <v>0</v>
      </c>
      <c r="BR37" s="317">
        <f t="shared" si="69"/>
        <v>0</v>
      </c>
      <c r="BS37" s="317">
        <f t="shared" si="70"/>
        <v>0</v>
      </c>
      <c r="BT37" s="317">
        <f t="shared" si="71"/>
        <v>0</v>
      </c>
      <c r="BU37" s="229">
        <v>1</v>
      </c>
      <c r="BV37" s="305"/>
      <c r="BW37" s="331" t="s">
        <v>228</v>
      </c>
      <c r="BY37" s="232"/>
      <c r="BZ37" s="232">
        <v>1</v>
      </c>
      <c r="CA37" s="317"/>
      <c r="CB37" s="232"/>
      <c r="CC37" s="232"/>
    </row>
    <row r="38" spans="1:81" s="229" customFormat="1" ht="21" customHeight="1">
      <c r="A38" s="230">
        <v>27</v>
      </c>
      <c r="B38" s="239" t="s">
        <v>76</v>
      </c>
      <c r="C38" s="232">
        <f t="shared" si="45"/>
        <v>4450.155</v>
      </c>
      <c r="D38" s="233"/>
      <c r="E38" s="232">
        <f t="shared" si="46"/>
        <v>4450.155</v>
      </c>
      <c r="F38" s="233"/>
      <c r="G38" s="232"/>
      <c r="H38" s="232">
        <f t="shared" si="47"/>
        <v>3950.85373</v>
      </c>
      <c r="I38" s="233"/>
      <c r="J38" s="232">
        <f t="shared" si="48"/>
        <v>3751.9849999999997</v>
      </c>
      <c r="K38" s="232">
        <f t="shared" si="49"/>
        <v>198.86873</v>
      </c>
      <c r="L38" s="240"/>
      <c r="M38" s="232">
        <f t="shared" si="18"/>
        <v>4450.155</v>
      </c>
      <c r="N38" s="232">
        <v>3500</v>
      </c>
      <c r="O38" s="232">
        <v>508.756</v>
      </c>
      <c r="P38" s="232"/>
      <c r="Q38" s="232">
        <v>441.399</v>
      </c>
      <c r="R38" s="234">
        <f t="shared" si="50"/>
        <v>4274.805</v>
      </c>
      <c r="S38" s="232">
        <f>3500-175.35</f>
        <v>3324.65</v>
      </c>
      <c r="T38" s="232">
        <v>508.756</v>
      </c>
      <c r="U38" s="232"/>
      <c r="V38" s="235">
        <v>441.399</v>
      </c>
      <c r="W38" s="232">
        <f t="shared" si="51"/>
        <v>175.3499999999999</v>
      </c>
      <c r="X38" s="232">
        <f t="shared" si="52"/>
        <v>175.3499999999999</v>
      </c>
      <c r="Y38" s="232">
        <f t="shared" si="52"/>
        <v>0</v>
      </c>
      <c r="Z38" s="232">
        <f t="shared" si="52"/>
        <v>0</v>
      </c>
      <c r="AA38" s="232">
        <f t="shared" si="52"/>
        <v>0</v>
      </c>
      <c r="AB38" s="232">
        <f t="shared" si="53"/>
        <v>950.155</v>
      </c>
      <c r="AC38" s="232"/>
      <c r="AD38" s="232">
        <f t="shared" si="54"/>
        <v>508.756</v>
      </c>
      <c r="AE38" s="232">
        <f t="shared" si="54"/>
        <v>0</v>
      </c>
      <c r="AF38" s="232">
        <f t="shared" si="54"/>
        <v>441.399</v>
      </c>
      <c r="AG38" s="232">
        <f t="shared" si="55"/>
        <v>0</v>
      </c>
      <c r="AH38" s="232"/>
      <c r="AI38" s="232"/>
      <c r="AJ38" s="232"/>
      <c r="AK38" s="236"/>
      <c r="AL38" s="234">
        <f t="shared" si="56"/>
        <v>3751.9849999999997</v>
      </c>
      <c r="AM38" s="232">
        <f>2037.08+764.75</f>
        <v>2801.83</v>
      </c>
      <c r="AN38" s="232">
        <f t="shared" si="57"/>
        <v>508.756</v>
      </c>
      <c r="AO38" s="232">
        <f t="shared" si="57"/>
        <v>0</v>
      </c>
      <c r="AP38" s="235">
        <f t="shared" si="57"/>
        <v>441.399</v>
      </c>
      <c r="AQ38" s="232">
        <f t="shared" si="58"/>
        <v>3737.75285</v>
      </c>
      <c r="AR38" s="232">
        <f>2037.08+764.75</f>
        <v>2801.83</v>
      </c>
      <c r="AS38" s="232">
        <f>494.52385</f>
        <v>494.52385</v>
      </c>
      <c r="AT38" s="232"/>
      <c r="AU38" s="232">
        <f>441.399</f>
        <v>441.399</v>
      </c>
      <c r="AV38" s="232">
        <f t="shared" si="59"/>
        <v>2973.00285</v>
      </c>
      <c r="AW38" s="232">
        <f>2037.08</f>
        <v>2037.08</v>
      </c>
      <c r="AX38" s="232">
        <f>494.52385</f>
        <v>494.52385</v>
      </c>
      <c r="AY38" s="232"/>
      <c r="AZ38" s="232">
        <f>441.399</f>
        <v>441.399</v>
      </c>
      <c r="BA38" s="232">
        <f t="shared" si="60"/>
        <v>198.86873</v>
      </c>
      <c r="BB38" s="232">
        <v>147.47</v>
      </c>
      <c r="BC38" s="232">
        <v>26.02759</v>
      </c>
      <c r="BD38" s="232"/>
      <c r="BE38" s="232">
        <v>25.37114</v>
      </c>
      <c r="BF38" s="232">
        <f t="shared" si="61"/>
        <v>198.86873</v>
      </c>
      <c r="BG38" s="232">
        <v>147.47</v>
      </c>
      <c r="BH38" s="232">
        <v>26.02759</v>
      </c>
      <c r="BI38" s="232"/>
      <c r="BJ38" s="232">
        <v>25.37114</v>
      </c>
      <c r="BK38" s="232">
        <f t="shared" si="62"/>
        <v>3171.8715799999995</v>
      </c>
      <c r="BL38" s="232">
        <f t="shared" si="63"/>
        <v>2184.5499999999997</v>
      </c>
      <c r="BM38" s="232">
        <f t="shared" si="64"/>
        <v>520.55144</v>
      </c>
      <c r="BN38" s="232">
        <f t="shared" si="65"/>
        <v>0</v>
      </c>
      <c r="BO38" s="232">
        <f t="shared" si="66"/>
        <v>466.77014</v>
      </c>
      <c r="BP38" s="316">
        <f t="shared" si="67"/>
        <v>778.98215</v>
      </c>
      <c r="BQ38" s="317">
        <f t="shared" si="68"/>
        <v>764.75</v>
      </c>
      <c r="BR38" s="317">
        <f t="shared" si="69"/>
        <v>14.23214999999999</v>
      </c>
      <c r="BS38" s="317">
        <f t="shared" si="70"/>
        <v>0</v>
      </c>
      <c r="BT38" s="317">
        <f t="shared" si="71"/>
        <v>0</v>
      </c>
      <c r="BV38" s="305">
        <v>1</v>
      </c>
      <c r="BW38" s="332" t="s">
        <v>229</v>
      </c>
      <c r="BY38" s="232"/>
      <c r="BZ38" s="232"/>
      <c r="CA38" s="317">
        <v>1</v>
      </c>
      <c r="CB38" s="232"/>
      <c r="CC38" s="232"/>
    </row>
    <row r="39" spans="1:81" s="229" customFormat="1" ht="15" customHeight="1">
      <c r="A39" s="230">
        <v>28</v>
      </c>
      <c r="B39" s="239" t="s">
        <v>77</v>
      </c>
      <c r="C39" s="232">
        <f t="shared" si="45"/>
        <v>167.049</v>
      </c>
      <c r="D39" s="233"/>
      <c r="E39" s="232">
        <f t="shared" si="46"/>
        <v>167.049</v>
      </c>
      <c r="F39" s="233"/>
      <c r="G39" s="232"/>
      <c r="H39" s="232">
        <f t="shared" si="47"/>
        <v>502.462</v>
      </c>
      <c r="I39" s="233"/>
      <c r="J39" s="232">
        <f t="shared" si="48"/>
        <v>167.049</v>
      </c>
      <c r="K39" s="232">
        <f t="shared" si="49"/>
        <v>335.413</v>
      </c>
      <c r="L39" s="240"/>
      <c r="M39" s="232">
        <f t="shared" si="18"/>
        <v>167.049</v>
      </c>
      <c r="N39" s="232"/>
      <c r="O39" s="232">
        <v>167.049</v>
      </c>
      <c r="P39" s="232"/>
      <c r="Q39" s="232"/>
      <c r="R39" s="234">
        <f t="shared" si="50"/>
        <v>167.049</v>
      </c>
      <c r="S39" s="232"/>
      <c r="T39" s="232">
        <v>167.049</v>
      </c>
      <c r="U39" s="232"/>
      <c r="V39" s="235"/>
      <c r="W39" s="232">
        <f t="shared" si="51"/>
        <v>0</v>
      </c>
      <c r="X39" s="232">
        <f t="shared" si="52"/>
        <v>0</v>
      </c>
      <c r="Y39" s="232">
        <f t="shared" si="52"/>
        <v>0</v>
      </c>
      <c r="Z39" s="232">
        <f t="shared" si="52"/>
        <v>0</v>
      </c>
      <c r="AA39" s="232">
        <f t="shared" si="52"/>
        <v>0</v>
      </c>
      <c r="AB39" s="232">
        <f t="shared" si="53"/>
        <v>167.049</v>
      </c>
      <c r="AC39" s="232"/>
      <c r="AD39" s="232">
        <f t="shared" si="54"/>
        <v>167.049</v>
      </c>
      <c r="AE39" s="232">
        <f t="shared" si="54"/>
        <v>0</v>
      </c>
      <c r="AF39" s="232">
        <f t="shared" si="54"/>
        <v>0</v>
      </c>
      <c r="AG39" s="232">
        <f t="shared" si="55"/>
        <v>0</v>
      </c>
      <c r="AH39" s="232"/>
      <c r="AI39" s="232"/>
      <c r="AJ39" s="232"/>
      <c r="AK39" s="236"/>
      <c r="AL39" s="234">
        <f t="shared" si="56"/>
        <v>167.049</v>
      </c>
      <c r="AM39" s="232"/>
      <c r="AN39" s="232">
        <f t="shared" si="57"/>
        <v>167.049</v>
      </c>
      <c r="AO39" s="232">
        <f t="shared" si="57"/>
        <v>0</v>
      </c>
      <c r="AP39" s="235">
        <f t="shared" si="57"/>
        <v>0</v>
      </c>
      <c r="AQ39" s="232">
        <f t="shared" si="58"/>
        <v>167.049</v>
      </c>
      <c r="AR39" s="232"/>
      <c r="AS39" s="232">
        <v>167.049</v>
      </c>
      <c r="AT39" s="232"/>
      <c r="AU39" s="232"/>
      <c r="AV39" s="232">
        <f t="shared" si="59"/>
        <v>167.049</v>
      </c>
      <c r="AW39" s="232"/>
      <c r="AX39" s="232">
        <v>167.049</v>
      </c>
      <c r="AY39" s="232"/>
      <c r="AZ39" s="232"/>
      <c r="BA39" s="232">
        <f t="shared" si="60"/>
        <v>335.413</v>
      </c>
      <c r="BB39" s="232"/>
      <c r="BC39" s="232">
        <v>335.413</v>
      </c>
      <c r="BD39" s="232"/>
      <c r="BE39" s="232"/>
      <c r="BF39" s="232">
        <f t="shared" si="61"/>
        <v>335.413</v>
      </c>
      <c r="BG39" s="232"/>
      <c r="BH39" s="232">
        <v>335.413</v>
      </c>
      <c r="BI39" s="232"/>
      <c r="BJ39" s="232"/>
      <c r="BK39" s="232">
        <f t="shared" si="62"/>
        <v>502.462</v>
      </c>
      <c r="BL39" s="232">
        <f t="shared" si="63"/>
        <v>0</v>
      </c>
      <c r="BM39" s="232">
        <f t="shared" si="64"/>
        <v>502.462</v>
      </c>
      <c r="BN39" s="232">
        <f t="shared" si="65"/>
        <v>0</v>
      </c>
      <c r="BO39" s="232">
        <f t="shared" si="66"/>
        <v>0</v>
      </c>
      <c r="BP39" s="316">
        <f t="shared" si="67"/>
        <v>0</v>
      </c>
      <c r="BQ39" s="317">
        <f t="shared" si="68"/>
        <v>0</v>
      </c>
      <c r="BR39" s="317">
        <f t="shared" si="69"/>
        <v>0</v>
      </c>
      <c r="BS39" s="317">
        <f t="shared" si="70"/>
        <v>0</v>
      </c>
      <c r="BT39" s="317">
        <f t="shared" si="71"/>
        <v>0</v>
      </c>
      <c r="BU39" s="229">
        <v>1</v>
      </c>
      <c r="BV39" s="305"/>
      <c r="BW39" s="331" t="s">
        <v>228</v>
      </c>
      <c r="BY39" s="232"/>
      <c r="BZ39" s="232">
        <v>1</v>
      </c>
      <c r="CA39" s="317"/>
      <c r="CB39" s="232"/>
      <c r="CC39" s="232"/>
    </row>
    <row r="40" spans="1:81" s="229" customFormat="1" ht="22.5" customHeight="1">
      <c r="A40" s="230">
        <v>29</v>
      </c>
      <c r="B40" s="239" t="s">
        <v>78</v>
      </c>
      <c r="C40" s="232">
        <f t="shared" si="45"/>
        <v>879.639</v>
      </c>
      <c r="D40" s="233"/>
      <c r="E40" s="232">
        <f t="shared" si="46"/>
        <v>879.639</v>
      </c>
      <c r="F40" s="233"/>
      <c r="G40" s="232"/>
      <c r="H40" s="232">
        <f t="shared" si="47"/>
        <v>931.10118</v>
      </c>
      <c r="I40" s="233"/>
      <c r="J40" s="232">
        <f t="shared" si="48"/>
        <v>879.639</v>
      </c>
      <c r="K40" s="232">
        <f t="shared" si="49"/>
        <v>51.46218</v>
      </c>
      <c r="L40" s="240"/>
      <c r="M40" s="232">
        <f t="shared" si="18"/>
        <v>879.639</v>
      </c>
      <c r="N40" s="232"/>
      <c r="O40" s="232">
        <v>879.639</v>
      </c>
      <c r="P40" s="232"/>
      <c r="Q40" s="232"/>
      <c r="R40" s="234">
        <f t="shared" si="50"/>
        <v>879.639</v>
      </c>
      <c r="S40" s="232"/>
      <c r="T40" s="232">
        <v>879.639</v>
      </c>
      <c r="U40" s="232"/>
      <c r="V40" s="235"/>
      <c r="W40" s="232">
        <f t="shared" si="51"/>
        <v>0</v>
      </c>
      <c r="X40" s="232">
        <f t="shared" si="52"/>
        <v>0</v>
      </c>
      <c r="Y40" s="232">
        <f t="shared" si="52"/>
        <v>0</v>
      </c>
      <c r="Z40" s="232">
        <f t="shared" si="52"/>
        <v>0</v>
      </c>
      <c r="AA40" s="232">
        <f t="shared" si="52"/>
        <v>0</v>
      </c>
      <c r="AB40" s="232">
        <f t="shared" si="53"/>
        <v>879.639</v>
      </c>
      <c r="AC40" s="232"/>
      <c r="AD40" s="232">
        <f t="shared" si="54"/>
        <v>879.639</v>
      </c>
      <c r="AE40" s="232">
        <f t="shared" si="54"/>
        <v>0</v>
      </c>
      <c r="AF40" s="232">
        <f t="shared" si="54"/>
        <v>0</v>
      </c>
      <c r="AG40" s="232">
        <f t="shared" si="55"/>
        <v>0</v>
      </c>
      <c r="AH40" s="232"/>
      <c r="AI40" s="232"/>
      <c r="AJ40" s="232"/>
      <c r="AK40" s="236"/>
      <c r="AL40" s="234">
        <f t="shared" si="56"/>
        <v>879.639</v>
      </c>
      <c r="AM40" s="232"/>
      <c r="AN40" s="232">
        <f t="shared" si="57"/>
        <v>879.639</v>
      </c>
      <c r="AO40" s="232">
        <f t="shared" si="57"/>
        <v>0</v>
      </c>
      <c r="AP40" s="235">
        <f t="shared" si="57"/>
        <v>0</v>
      </c>
      <c r="AQ40" s="232">
        <f t="shared" si="58"/>
        <v>858.62403</v>
      </c>
      <c r="AR40" s="232"/>
      <c r="AS40" s="232">
        <f>445.98403+412.64</f>
        <v>858.62403</v>
      </c>
      <c r="AT40" s="232"/>
      <c r="AU40" s="232"/>
      <c r="AV40" s="232">
        <f t="shared" si="59"/>
        <v>858.62403</v>
      </c>
      <c r="AW40" s="232"/>
      <c r="AX40" s="232">
        <f>445.98403+412.64</f>
        <v>858.62403</v>
      </c>
      <c r="AY40" s="232"/>
      <c r="AZ40" s="232"/>
      <c r="BA40" s="232">
        <f t="shared" si="60"/>
        <v>51.46218</v>
      </c>
      <c r="BB40" s="232"/>
      <c r="BC40" s="232">
        <v>51.46218</v>
      </c>
      <c r="BD40" s="232"/>
      <c r="BE40" s="232"/>
      <c r="BF40" s="232">
        <f t="shared" si="61"/>
        <v>51.46218</v>
      </c>
      <c r="BG40" s="232"/>
      <c r="BH40" s="232">
        <v>51.46218</v>
      </c>
      <c r="BI40" s="232"/>
      <c r="BJ40" s="232"/>
      <c r="BK40" s="232">
        <f t="shared" si="62"/>
        <v>910.0862099999999</v>
      </c>
      <c r="BL40" s="232">
        <f t="shared" si="63"/>
        <v>0</v>
      </c>
      <c r="BM40" s="232">
        <f t="shared" si="64"/>
        <v>910.0862099999999</v>
      </c>
      <c r="BN40" s="232">
        <f t="shared" si="65"/>
        <v>0</v>
      </c>
      <c r="BO40" s="232">
        <f t="shared" si="66"/>
        <v>0</v>
      </c>
      <c r="BP40" s="316">
        <f t="shared" si="67"/>
        <v>21.014970000000062</v>
      </c>
      <c r="BQ40" s="317">
        <f t="shared" si="68"/>
        <v>0</v>
      </c>
      <c r="BR40" s="317">
        <f t="shared" si="69"/>
        <v>21.014970000000062</v>
      </c>
      <c r="BS40" s="317">
        <f t="shared" si="70"/>
        <v>0</v>
      </c>
      <c r="BT40" s="317">
        <f t="shared" si="71"/>
        <v>0</v>
      </c>
      <c r="BU40" s="229">
        <v>1</v>
      </c>
      <c r="BV40" s="305"/>
      <c r="BW40" s="331" t="s">
        <v>252</v>
      </c>
      <c r="BY40" s="232">
        <v>21</v>
      </c>
      <c r="BZ40" s="232">
        <v>1</v>
      </c>
      <c r="CA40" s="317"/>
      <c r="CB40" s="232"/>
      <c r="CC40" s="232"/>
    </row>
    <row r="41" spans="1:81" s="229" customFormat="1" ht="15" customHeight="1" hidden="1">
      <c r="A41" s="230"/>
      <c r="B41" s="239" t="s">
        <v>79</v>
      </c>
      <c r="C41" s="232">
        <f t="shared" si="45"/>
        <v>0</v>
      </c>
      <c r="D41" s="233"/>
      <c r="E41" s="232">
        <f t="shared" si="46"/>
        <v>0</v>
      </c>
      <c r="F41" s="233"/>
      <c r="G41" s="232"/>
      <c r="H41" s="232">
        <f t="shared" si="47"/>
        <v>0</v>
      </c>
      <c r="I41" s="233"/>
      <c r="J41" s="232">
        <f t="shared" si="48"/>
        <v>0</v>
      </c>
      <c r="K41" s="232">
        <f t="shared" si="49"/>
        <v>0</v>
      </c>
      <c r="L41" s="240"/>
      <c r="M41" s="232"/>
      <c r="N41" s="232"/>
      <c r="O41" s="232"/>
      <c r="P41" s="232"/>
      <c r="Q41" s="232"/>
      <c r="R41" s="234">
        <f t="shared" si="50"/>
        <v>0</v>
      </c>
      <c r="S41" s="232"/>
      <c r="T41" s="232"/>
      <c r="U41" s="232"/>
      <c r="V41" s="235"/>
      <c r="W41" s="232">
        <f t="shared" si="51"/>
        <v>0</v>
      </c>
      <c r="X41" s="232">
        <f t="shared" si="52"/>
        <v>0</v>
      </c>
      <c r="Y41" s="232">
        <f t="shared" si="52"/>
        <v>0</v>
      </c>
      <c r="Z41" s="232">
        <f t="shared" si="52"/>
        <v>0</v>
      </c>
      <c r="AA41" s="232">
        <f t="shared" si="52"/>
        <v>0</v>
      </c>
      <c r="AB41" s="232">
        <f t="shared" si="53"/>
        <v>0</v>
      </c>
      <c r="AC41" s="232"/>
      <c r="AD41" s="232">
        <f t="shared" si="54"/>
        <v>0</v>
      </c>
      <c r="AE41" s="232">
        <f t="shared" si="54"/>
        <v>0</v>
      </c>
      <c r="AF41" s="232">
        <f t="shared" si="54"/>
        <v>0</v>
      </c>
      <c r="AG41" s="232">
        <f t="shared" si="55"/>
        <v>0</v>
      </c>
      <c r="AH41" s="232"/>
      <c r="AI41" s="232"/>
      <c r="AJ41" s="232"/>
      <c r="AK41" s="236"/>
      <c r="AL41" s="234">
        <f t="shared" si="56"/>
        <v>0</v>
      </c>
      <c r="AM41" s="232"/>
      <c r="AN41" s="232">
        <f t="shared" si="57"/>
        <v>0</v>
      </c>
      <c r="AO41" s="232">
        <f t="shared" si="57"/>
        <v>0</v>
      </c>
      <c r="AP41" s="235">
        <f t="shared" si="57"/>
        <v>0</v>
      </c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>
        <f t="shared" si="60"/>
        <v>0</v>
      </c>
      <c r="BB41" s="232"/>
      <c r="BC41" s="232"/>
      <c r="BD41" s="232"/>
      <c r="BE41" s="232"/>
      <c r="BF41" s="232">
        <f t="shared" si="61"/>
        <v>0</v>
      </c>
      <c r="BG41" s="232"/>
      <c r="BH41" s="232"/>
      <c r="BI41" s="232"/>
      <c r="BJ41" s="232"/>
      <c r="BK41" s="232">
        <f t="shared" si="62"/>
        <v>0</v>
      </c>
      <c r="BL41" s="232">
        <f t="shared" si="63"/>
        <v>0</v>
      </c>
      <c r="BM41" s="232">
        <f t="shared" si="64"/>
        <v>0</v>
      </c>
      <c r="BN41" s="232">
        <f t="shared" si="65"/>
        <v>0</v>
      </c>
      <c r="BO41" s="232">
        <f t="shared" si="66"/>
        <v>0</v>
      </c>
      <c r="BP41" s="316">
        <f t="shared" si="67"/>
        <v>0</v>
      </c>
      <c r="BQ41" s="317">
        <f t="shared" si="68"/>
        <v>0</v>
      </c>
      <c r="BR41" s="317">
        <f t="shared" si="69"/>
        <v>0</v>
      </c>
      <c r="BS41" s="317">
        <f t="shared" si="70"/>
        <v>0</v>
      </c>
      <c r="BT41" s="317">
        <f t="shared" si="71"/>
        <v>0</v>
      </c>
      <c r="BV41" s="305"/>
      <c r="BW41" s="332"/>
      <c r="BY41" s="232"/>
      <c r="BZ41" s="232"/>
      <c r="CA41" s="317"/>
      <c r="CB41" s="232"/>
      <c r="CC41" s="232"/>
    </row>
    <row r="42" spans="1:81" s="229" customFormat="1" ht="15" customHeight="1">
      <c r="A42" s="230">
        <v>30</v>
      </c>
      <c r="B42" s="239" t="s">
        <v>80</v>
      </c>
      <c r="C42" s="232">
        <f t="shared" si="45"/>
        <v>478.03099999999995</v>
      </c>
      <c r="D42" s="233"/>
      <c r="E42" s="232">
        <f t="shared" si="46"/>
        <v>478.03099999999995</v>
      </c>
      <c r="F42" s="233"/>
      <c r="G42" s="232"/>
      <c r="H42" s="232">
        <f t="shared" si="47"/>
        <v>503.20654</v>
      </c>
      <c r="I42" s="233"/>
      <c r="J42" s="232">
        <f t="shared" si="48"/>
        <v>478.031</v>
      </c>
      <c r="K42" s="232">
        <f t="shared" si="49"/>
        <v>25.17554</v>
      </c>
      <c r="L42" s="240"/>
      <c r="M42" s="232">
        <f t="shared" si="18"/>
        <v>478.03099999999995</v>
      </c>
      <c r="N42" s="232"/>
      <c r="O42" s="232">
        <f>508.477-30.446</f>
        <v>478.03099999999995</v>
      </c>
      <c r="P42" s="232"/>
      <c r="Q42" s="232"/>
      <c r="R42" s="234">
        <f t="shared" si="50"/>
        <v>478.031</v>
      </c>
      <c r="S42" s="232"/>
      <c r="T42" s="232">
        <v>478.031</v>
      </c>
      <c r="U42" s="232"/>
      <c r="V42" s="235"/>
      <c r="W42" s="232">
        <f t="shared" si="51"/>
        <v>0</v>
      </c>
      <c r="X42" s="232">
        <f t="shared" si="52"/>
        <v>0</v>
      </c>
      <c r="Y42" s="232">
        <f t="shared" si="52"/>
        <v>0</v>
      </c>
      <c r="Z42" s="232">
        <f t="shared" si="52"/>
        <v>0</v>
      </c>
      <c r="AA42" s="232">
        <f t="shared" si="52"/>
        <v>0</v>
      </c>
      <c r="AB42" s="232">
        <f t="shared" si="53"/>
        <v>478.031</v>
      </c>
      <c r="AC42" s="232"/>
      <c r="AD42" s="232">
        <f t="shared" si="54"/>
        <v>478.031</v>
      </c>
      <c r="AE42" s="232">
        <f t="shared" si="54"/>
        <v>0</v>
      </c>
      <c r="AF42" s="232">
        <f t="shared" si="54"/>
        <v>0</v>
      </c>
      <c r="AG42" s="232">
        <f t="shared" si="55"/>
        <v>0</v>
      </c>
      <c r="AH42" s="232"/>
      <c r="AI42" s="232"/>
      <c r="AJ42" s="232"/>
      <c r="AK42" s="236"/>
      <c r="AL42" s="234">
        <f t="shared" si="56"/>
        <v>478.031</v>
      </c>
      <c r="AM42" s="232"/>
      <c r="AN42" s="232">
        <f t="shared" si="57"/>
        <v>478.031</v>
      </c>
      <c r="AO42" s="232">
        <f t="shared" si="57"/>
        <v>0</v>
      </c>
      <c r="AP42" s="235">
        <f t="shared" si="57"/>
        <v>0</v>
      </c>
      <c r="AQ42" s="232">
        <f>AR42+AS42+AT42+AU42</f>
        <v>477.3303</v>
      </c>
      <c r="AR42" s="232"/>
      <c r="AS42" s="232">
        <v>477.3303</v>
      </c>
      <c r="AT42" s="232"/>
      <c r="AU42" s="232"/>
      <c r="AV42" s="232">
        <f t="shared" si="59"/>
        <v>477.3303</v>
      </c>
      <c r="AW42" s="232"/>
      <c r="AX42" s="232">
        <v>477.3303</v>
      </c>
      <c r="AY42" s="232"/>
      <c r="AZ42" s="232"/>
      <c r="BA42" s="232">
        <f t="shared" si="60"/>
        <v>25.17554</v>
      </c>
      <c r="BB42" s="232"/>
      <c r="BC42" s="232">
        <v>25.17554</v>
      </c>
      <c r="BD42" s="232"/>
      <c r="BE42" s="232"/>
      <c r="BF42" s="232">
        <f t="shared" si="61"/>
        <v>25.17554</v>
      </c>
      <c r="BG42" s="232"/>
      <c r="BH42" s="232">
        <v>25.17554</v>
      </c>
      <c r="BI42" s="232"/>
      <c r="BJ42" s="232"/>
      <c r="BK42" s="232">
        <f t="shared" si="62"/>
        <v>502.50584000000003</v>
      </c>
      <c r="BL42" s="232">
        <f t="shared" si="63"/>
        <v>0</v>
      </c>
      <c r="BM42" s="232">
        <f t="shared" si="64"/>
        <v>502.50584000000003</v>
      </c>
      <c r="BN42" s="232">
        <f t="shared" si="65"/>
        <v>0</v>
      </c>
      <c r="BO42" s="232">
        <f t="shared" si="66"/>
        <v>0</v>
      </c>
      <c r="BP42" s="316">
        <f t="shared" si="67"/>
        <v>0.7006999999999834</v>
      </c>
      <c r="BQ42" s="317">
        <f t="shared" si="68"/>
        <v>0</v>
      </c>
      <c r="BR42" s="317">
        <f t="shared" si="69"/>
        <v>0.7006999999999834</v>
      </c>
      <c r="BS42" s="317">
        <f t="shared" si="70"/>
        <v>0</v>
      </c>
      <c r="BT42" s="317">
        <f t="shared" si="71"/>
        <v>0</v>
      </c>
      <c r="BU42" s="229">
        <v>1</v>
      </c>
      <c r="BV42" s="305"/>
      <c r="BW42" s="331" t="s">
        <v>270</v>
      </c>
      <c r="BY42" s="232">
        <v>0.7</v>
      </c>
      <c r="BZ42" s="232">
        <v>1</v>
      </c>
      <c r="CA42" s="317"/>
      <c r="CB42" s="232"/>
      <c r="CC42" s="232"/>
    </row>
    <row r="43" spans="1:81" s="229" customFormat="1" ht="15" customHeight="1">
      <c r="A43" s="230">
        <v>31</v>
      </c>
      <c r="B43" s="231" t="s">
        <v>81</v>
      </c>
      <c r="C43" s="232">
        <f t="shared" si="45"/>
        <v>1107.812</v>
      </c>
      <c r="D43" s="233"/>
      <c r="E43" s="232">
        <f t="shared" si="46"/>
        <v>1107.812</v>
      </c>
      <c r="F43" s="233"/>
      <c r="G43" s="232"/>
      <c r="H43" s="232">
        <f t="shared" si="47"/>
        <v>1166.241</v>
      </c>
      <c r="I43" s="233"/>
      <c r="J43" s="232">
        <f t="shared" si="48"/>
        <v>1107.812</v>
      </c>
      <c r="K43" s="232">
        <f t="shared" si="49"/>
        <v>58.429</v>
      </c>
      <c r="L43" s="233"/>
      <c r="M43" s="232">
        <f t="shared" si="18"/>
        <v>1107.812</v>
      </c>
      <c r="N43" s="232"/>
      <c r="O43" s="232">
        <f>1110.705-2.893</f>
        <v>1107.812</v>
      </c>
      <c r="P43" s="232"/>
      <c r="Q43" s="232"/>
      <c r="R43" s="234">
        <f t="shared" si="50"/>
        <v>1107.812</v>
      </c>
      <c r="S43" s="232"/>
      <c r="T43" s="232">
        <v>1107.812</v>
      </c>
      <c r="U43" s="232"/>
      <c r="V43" s="235"/>
      <c r="W43" s="232">
        <f t="shared" si="51"/>
        <v>0</v>
      </c>
      <c r="X43" s="232">
        <f t="shared" si="52"/>
        <v>0</v>
      </c>
      <c r="Y43" s="232">
        <f t="shared" si="52"/>
        <v>0</v>
      </c>
      <c r="Z43" s="232">
        <f t="shared" si="52"/>
        <v>0</v>
      </c>
      <c r="AA43" s="232">
        <f t="shared" si="52"/>
        <v>0</v>
      </c>
      <c r="AB43" s="232">
        <f t="shared" si="53"/>
        <v>1107.812</v>
      </c>
      <c r="AC43" s="232"/>
      <c r="AD43" s="232">
        <f t="shared" si="54"/>
        <v>1107.812</v>
      </c>
      <c r="AE43" s="232">
        <f t="shared" si="54"/>
        <v>0</v>
      </c>
      <c r="AF43" s="232">
        <f t="shared" si="54"/>
        <v>0</v>
      </c>
      <c r="AG43" s="232">
        <f t="shared" si="55"/>
        <v>0</v>
      </c>
      <c r="AH43" s="232"/>
      <c r="AI43" s="232"/>
      <c r="AJ43" s="232"/>
      <c r="AK43" s="236"/>
      <c r="AL43" s="234">
        <f t="shared" si="56"/>
        <v>1107.812</v>
      </c>
      <c r="AM43" s="232"/>
      <c r="AN43" s="232">
        <f t="shared" si="57"/>
        <v>1107.812</v>
      </c>
      <c r="AO43" s="232">
        <f t="shared" si="57"/>
        <v>0</v>
      </c>
      <c r="AP43" s="235">
        <f t="shared" si="57"/>
        <v>0</v>
      </c>
      <c r="AQ43" s="232">
        <f>AR43+AS43+AT43+AU43</f>
        <v>1107.812</v>
      </c>
      <c r="AR43" s="232"/>
      <c r="AS43" s="232">
        <f>735.556+372.256</f>
        <v>1107.812</v>
      </c>
      <c r="AT43" s="232"/>
      <c r="AU43" s="232"/>
      <c r="AV43" s="232">
        <f t="shared" si="59"/>
        <v>1107.812</v>
      </c>
      <c r="AW43" s="232"/>
      <c r="AX43" s="232">
        <f>735.556+372.256</f>
        <v>1107.812</v>
      </c>
      <c r="AY43" s="232"/>
      <c r="AZ43" s="232"/>
      <c r="BA43" s="232">
        <f t="shared" si="60"/>
        <v>58.429</v>
      </c>
      <c r="BB43" s="232"/>
      <c r="BC43" s="232">
        <v>58.429</v>
      </c>
      <c r="BD43" s="232"/>
      <c r="BE43" s="232"/>
      <c r="BF43" s="232">
        <f t="shared" si="61"/>
        <v>58.429</v>
      </c>
      <c r="BG43" s="232"/>
      <c r="BH43" s="232">
        <v>58.429</v>
      </c>
      <c r="BI43" s="232"/>
      <c r="BJ43" s="232"/>
      <c r="BK43" s="232">
        <f t="shared" si="62"/>
        <v>1166.241</v>
      </c>
      <c r="BL43" s="232">
        <f t="shared" si="63"/>
        <v>0</v>
      </c>
      <c r="BM43" s="232">
        <f t="shared" si="64"/>
        <v>1166.241</v>
      </c>
      <c r="BN43" s="232">
        <f t="shared" si="65"/>
        <v>0</v>
      </c>
      <c r="BO43" s="232">
        <f t="shared" si="66"/>
        <v>0</v>
      </c>
      <c r="BP43" s="316">
        <f t="shared" si="67"/>
        <v>0</v>
      </c>
      <c r="BQ43" s="317">
        <f t="shared" si="68"/>
        <v>0</v>
      </c>
      <c r="BR43" s="317">
        <f t="shared" si="69"/>
        <v>0</v>
      </c>
      <c r="BS43" s="317">
        <f t="shared" si="70"/>
        <v>0</v>
      </c>
      <c r="BT43" s="317">
        <f t="shared" si="71"/>
        <v>0</v>
      </c>
      <c r="BU43" s="229">
        <v>1</v>
      </c>
      <c r="BV43" s="305"/>
      <c r="BW43" s="331" t="s">
        <v>228</v>
      </c>
      <c r="BY43" s="232"/>
      <c r="BZ43" s="232">
        <v>1</v>
      </c>
      <c r="CA43" s="317"/>
      <c r="CB43" s="232"/>
      <c r="CC43" s="232"/>
    </row>
    <row r="44" spans="1:81" s="229" customFormat="1" ht="15" customHeight="1">
      <c r="A44" s="238"/>
      <c r="B44" s="301" t="s">
        <v>19</v>
      </c>
      <c r="C44" s="228">
        <f aca="true" t="shared" si="72" ref="C44:K44">SUM(C45:C56)</f>
        <v>22717.181000000004</v>
      </c>
      <c r="D44" s="228">
        <f t="shared" si="72"/>
        <v>0</v>
      </c>
      <c r="E44" s="228">
        <f t="shared" si="72"/>
        <v>22717.181000000004</v>
      </c>
      <c r="F44" s="228">
        <f t="shared" si="72"/>
        <v>0</v>
      </c>
      <c r="G44" s="228">
        <f t="shared" si="72"/>
        <v>0</v>
      </c>
      <c r="H44" s="228">
        <f t="shared" si="72"/>
        <v>34980.36681999999</v>
      </c>
      <c r="I44" s="228">
        <f t="shared" si="72"/>
        <v>0</v>
      </c>
      <c r="J44" s="228">
        <f t="shared" si="72"/>
        <v>22440.431420000004</v>
      </c>
      <c r="K44" s="228">
        <f t="shared" si="72"/>
        <v>12539.9354</v>
      </c>
      <c r="L44" s="224"/>
      <c r="M44" s="223">
        <f t="shared" si="18"/>
        <v>22717.181</v>
      </c>
      <c r="N44" s="223">
        <f>SUM(N45:N56)</f>
        <v>0</v>
      </c>
      <c r="O44" s="223">
        <f>SUM(O45:O56)</f>
        <v>16392.476</v>
      </c>
      <c r="P44" s="223">
        <f>SUM(P45:P56)</f>
        <v>0</v>
      </c>
      <c r="Q44" s="223">
        <f>SUM(Q45:Q56)</f>
        <v>6324.705000000001</v>
      </c>
      <c r="R44" s="225">
        <f aca="true" t="shared" si="73" ref="R44:AP44">SUM(R45:R56)</f>
        <v>22440.431420000004</v>
      </c>
      <c r="S44" s="223">
        <f t="shared" si="73"/>
        <v>0</v>
      </c>
      <c r="T44" s="223">
        <f t="shared" si="73"/>
        <v>16242.260399999997</v>
      </c>
      <c r="U44" s="223">
        <f t="shared" si="73"/>
        <v>0</v>
      </c>
      <c r="V44" s="226">
        <f t="shared" si="73"/>
        <v>6198.171020000001</v>
      </c>
      <c r="W44" s="223">
        <f t="shared" si="73"/>
        <v>276.74958000000004</v>
      </c>
      <c r="X44" s="223">
        <f t="shared" si="73"/>
        <v>0</v>
      </c>
      <c r="Y44" s="223">
        <f t="shared" si="73"/>
        <v>150.2156</v>
      </c>
      <c r="Z44" s="223">
        <f t="shared" si="73"/>
        <v>0</v>
      </c>
      <c r="AA44" s="223">
        <f t="shared" si="73"/>
        <v>126.53398000000004</v>
      </c>
      <c r="AB44" s="223">
        <f t="shared" si="73"/>
        <v>22440.431420000004</v>
      </c>
      <c r="AC44" s="223">
        <f t="shared" si="73"/>
        <v>0</v>
      </c>
      <c r="AD44" s="223">
        <f t="shared" si="73"/>
        <v>16242.260399999997</v>
      </c>
      <c r="AE44" s="223">
        <f t="shared" si="73"/>
        <v>0</v>
      </c>
      <c r="AF44" s="223">
        <f t="shared" si="73"/>
        <v>6198.171020000001</v>
      </c>
      <c r="AG44" s="223">
        <f t="shared" si="73"/>
        <v>276.74958</v>
      </c>
      <c r="AH44" s="223">
        <f t="shared" si="73"/>
        <v>0</v>
      </c>
      <c r="AI44" s="223">
        <f t="shared" si="73"/>
        <v>150.2156</v>
      </c>
      <c r="AJ44" s="223">
        <f t="shared" si="73"/>
        <v>0</v>
      </c>
      <c r="AK44" s="227">
        <f t="shared" si="73"/>
        <v>126.53398</v>
      </c>
      <c r="AL44" s="225">
        <f t="shared" si="73"/>
        <v>22440.431420000004</v>
      </c>
      <c r="AM44" s="223">
        <f t="shared" si="73"/>
        <v>0</v>
      </c>
      <c r="AN44" s="223">
        <f t="shared" si="73"/>
        <v>16242.260399999997</v>
      </c>
      <c r="AO44" s="223">
        <f t="shared" si="73"/>
        <v>0</v>
      </c>
      <c r="AP44" s="226">
        <f t="shared" si="73"/>
        <v>6198.171020000001</v>
      </c>
      <c r="AQ44" s="223">
        <f aca="true" t="shared" si="74" ref="AQ44:BE44">SUM(AQ45:AQ56)</f>
        <v>21095.773950000003</v>
      </c>
      <c r="AR44" s="223">
        <f t="shared" si="74"/>
        <v>0</v>
      </c>
      <c r="AS44" s="223">
        <f t="shared" si="74"/>
        <v>15134.469060000001</v>
      </c>
      <c r="AT44" s="223">
        <f t="shared" si="74"/>
        <v>0</v>
      </c>
      <c r="AU44" s="223">
        <f t="shared" si="74"/>
        <v>5961.30489</v>
      </c>
      <c r="AV44" s="223">
        <f t="shared" si="74"/>
        <v>21095.781950000004</v>
      </c>
      <c r="AW44" s="223">
        <f t="shared" si="74"/>
        <v>0</v>
      </c>
      <c r="AX44" s="223">
        <f t="shared" si="74"/>
        <v>15134.491060000002</v>
      </c>
      <c r="AY44" s="223">
        <f t="shared" si="74"/>
        <v>0</v>
      </c>
      <c r="AZ44" s="223">
        <f t="shared" si="74"/>
        <v>5961.29089</v>
      </c>
      <c r="BA44" s="223">
        <f t="shared" si="74"/>
        <v>12539.9354</v>
      </c>
      <c r="BB44" s="223">
        <f t="shared" si="74"/>
        <v>0</v>
      </c>
      <c r="BC44" s="223">
        <f t="shared" si="74"/>
        <v>11715.712430000001</v>
      </c>
      <c r="BD44" s="223">
        <f t="shared" si="74"/>
        <v>0</v>
      </c>
      <c r="BE44" s="223">
        <f t="shared" si="74"/>
        <v>824.2229699999999</v>
      </c>
      <c r="BF44" s="223">
        <f aca="true" t="shared" si="75" ref="BF44:BT44">SUM(BF45:BF56)</f>
        <v>12539.9354</v>
      </c>
      <c r="BG44" s="223">
        <f t="shared" si="75"/>
        <v>0</v>
      </c>
      <c r="BH44" s="223">
        <f t="shared" si="75"/>
        <v>11715.712430000001</v>
      </c>
      <c r="BI44" s="223">
        <f t="shared" si="75"/>
        <v>0</v>
      </c>
      <c r="BJ44" s="223">
        <f t="shared" si="75"/>
        <v>824.2229699999999</v>
      </c>
      <c r="BK44" s="223">
        <f t="shared" si="75"/>
        <v>33635.71734999999</v>
      </c>
      <c r="BL44" s="223">
        <f t="shared" si="75"/>
        <v>0</v>
      </c>
      <c r="BM44" s="223">
        <f t="shared" si="75"/>
        <v>26850.203490000004</v>
      </c>
      <c r="BN44" s="223">
        <f t="shared" si="75"/>
        <v>0</v>
      </c>
      <c r="BO44" s="223">
        <f t="shared" si="75"/>
        <v>6785.513860000001</v>
      </c>
      <c r="BP44" s="314">
        <f t="shared" si="75"/>
        <v>1344.6494699999998</v>
      </c>
      <c r="BQ44" s="315">
        <f t="shared" si="75"/>
        <v>0</v>
      </c>
      <c r="BR44" s="315">
        <f t="shared" si="75"/>
        <v>1107.7693399999998</v>
      </c>
      <c r="BS44" s="315">
        <f t="shared" si="75"/>
        <v>0</v>
      </c>
      <c r="BT44" s="315">
        <f t="shared" si="75"/>
        <v>236.88013</v>
      </c>
      <c r="BV44" s="305"/>
      <c r="BW44" s="349" t="s">
        <v>301</v>
      </c>
      <c r="BY44" s="223">
        <f>SUM(BY45:BY56)</f>
        <v>361.1</v>
      </c>
      <c r="BZ44" s="223">
        <f>SUM(BZ45:BZ56)</f>
        <v>10</v>
      </c>
      <c r="CA44" s="315">
        <f>SUM(CA45:CA56)</f>
        <v>1</v>
      </c>
      <c r="CB44" s="223">
        <f>SUM(CB45:CB56)</f>
        <v>0</v>
      </c>
      <c r="CC44" s="223">
        <f>SUM(CC45:CC56)</f>
        <v>0</v>
      </c>
    </row>
    <row r="45" spans="1:81" s="229" customFormat="1" ht="21" customHeight="1">
      <c r="A45" s="230">
        <v>32</v>
      </c>
      <c r="B45" s="239" t="s">
        <v>82</v>
      </c>
      <c r="C45" s="232">
        <f aca="true" t="shared" si="76" ref="C45:C56">E45+D45+F45</f>
        <v>9262.101999999999</v>
      </c>
      <c r="D45" s="233"/>
      <c r="E45" s="232">
        <f aca="true" t="shared" si="77" ref="E45:E56">M45</f>
        <v>9262.101999999999</v>
      </c>
      <c r="F45" s="233"/>
      <c r="G45" s="232"/>
      <c r="H45" s="232">
        <f aca="true" t="shared" si="78" ref="H45:H56">I45+J45+K45</f>
        <v>10443.194479999998</v>
      </c>
      <c r="I45" s="233"/>
      <c r="J45" s="232">
        <f aca="true" t="shared" si="79" ref="J45:J56">AL45</f>
        <v>9262.101999999999</v>
      </c>
      <c r="K45" s="232">
        <f aca="true" t="shared" si="80" ref="K45:K56">BF45</f>
        <v>1181.09248</v>
      </c>
      <c r="L45" s="240"/>
      <c r="M45" s="232">
        <f t="shared" si="18"/>
        <v>9262.101999999999</v>
      </c>
      <c r="N45" s="232"/>
      <c r="O45" s="232">
        <v>4959.351</v>
      </c>
      <c r="P45" s="232"/>
      <c r="Q45" s="232">
        <v>4302.751</v>
      </c>
      <c r="R45" s="234">
        <f aca="true" t="shared" si="81" ref="R45:R56">S45+T45+U45+V45</f>
        <v>9262.101999999999</v>
      </c>
      <c r="S45" s="232"/>
      <c r="T45" s="232">
        <v>4959.351</v>
      </c>
      <c r="U45" s="232"/>
      <c r="V45" s="235">
        <v>4302.751</v>
      </c>
      <c r="W45" s="232">
        <f aca="true" t="shared" si="82" ref="W45:W56">X45+Y45+Z45+AA45</f>
        <v>0</v>
      </c>
      <c r="X45" s="232">
        <f>N45-S45</f>
        <v>0</v>
      </c>
      <c r="Y45" s="232">
        <f>O45-T45</f>
        <v>0</v>
      </c>
      <c r="Z45" s="232">
        <f>P45-U45</f>
        <v>0</v>
      </c>
      <c r="AA45" s="232">
        <f>Q45-V45</f>
        <v>0</v>
      </c>
      <c r="AB45" s="232">
        <f aca="true" t="shared" si="83" ref="AB45:AB56">AC45+AD45+AE45+AF45</f>
        <v>9262.101999999999</v>
      </c>
      <c r="AC45" s="232"/>
      <c r="AD45" s="232">
        <f aca="true" t="shared" si="84" ref="AD45:AF56">T45</f>
        <v>4959.351</v>
      </c>
      <c r="AE45" s="232">
        <f t="shared" si="84"/>
        <v>0</v>
      </c>
      <c r="AF45" s="232">
        <f t="shared" si="84"/>
        <v>4302.751</v>
      </c>
      <c r="AG45" s="232">
        <f aca="true" t="shared" si="85" ref="AG45:AG56">AH45+AI45+AJ45+AK45</f>
        <v>0</v>
      </c>
      <c r="AH45" s="232"/>
      <c r="AI45" s="232"/>
      <c r="AJ45" s="232"/>
      <c r="AK45" s="236"/>
      <c r="AL45" s="234">
        <f aca="true" t="shared" si="86" ref="AL45:AL56">AM45+AN45+AO45+AP45</f>
        <v>9262.101999999999</v>
      </c>
      <c r="AM45" s="232"/>
      <c r="AN45" s="232">
        <f aca="true" t="shared" si="87" ref="AN45:AP56">AD45</f>
        <v>4959.351</v>
      </c>
      <c r="AO45" s="232">
        <f t="shared" si="87"/>
        <v>0</v>
      </c>
      <c r="AP45" s="235">
        <f t="shared" si="87"/>
        <v>4302.751</v>
      </c>
      <c r="AQ45" s="232">
        <f>AR45+AS45+AT45+AU45</f>
        <v>8975.62836</v>
      </c>
      <c r="AR45" s="232"/>
      <c r="AS45" s="232">
        <f>3764.10401+1145.65348</f>
        <v>4909.75749</v>
      </c>
      <c r="AT45" s="232"/>
      <c r="AU45" s="232">
        <f>1553.92792+2511.94295</f>
        <v>4065.87087</v>
      </c>
      <c r="AV45" s="232">
        <f aca="true" t="shared" si="88" ref="AV45:AV56">AW45+AX45+AY45+AZ45</f>
        <v>8975.62836</v>
      </c>
      <c r="AW45" s="232"/>
      <c r="AX45" s="232">
        <f>3764.10401+1145.65348</f>
        <v>4909.75749</v>
      </c>
      <c r="AY45" s="232"/>
      <c r="AZ45" s="232">
        <f>1553.92792+2511.94295</f>
        <v>4065.87087</v>
      </c>
      <c r="BA45" s="232">
        <f>BB45+BC45+BD45+BE45</f>
        <v>1181.09248</v>
      </c>
      <c r="BB45" s="232"/>
      <c r="BC45" s="232">
        <v>690.17751</v>
      </c>
      <c r="BD45" s="232"/>
      <c r="BE45" s="232">
        <v>490.91497</v>
      </c>
      <c r="BF45" s="232">
        <f aca="true" t="shared" si="89" ref="BF45:BF56">BG45+BH45+BI45+BJ45</f>
        <v>1181.09248</v>
      </c>
      <c r="BG45" s="232"/>
      <c r="BH45" s="232">
        <v>690.17751</v>
      </c>
      <c r="BI45" s="232"/>
      <c r="BJ45" s="232">
        <v>490.91497</v>
      </c>
      <c r="BK45" s="232">
        <f aca="true" t="shared" si="90" ref="BK45:BK56">BL45+BM45+BN45+BO45</f>
        <v>10156.72084</v>
      </c>
      <c r="BL45" s="232">
        <f>AW45+BG45</f>
        <v>0</v>
      </c>
      <c r="BM45" s="232">
        <f>AX45+BH45</f>
        <v>5599.9349999999995</v>
      </c>
      <c r="BN45" s="232">
        <f>AY45+BI45</f>
        <v>0</v>
      </c>
      <c r="BO45" s="232">
        <f>AZ45+BJ45</f>
        <v>4556.7858400000005</v>
      </c>
      <c r="BP45" s="316">
        <f aca="true" t="shared" si="91" ref="BP45:BP56">BQ45+BR45+BS45+BT45</f>
        <v>286.4736399999997</v>
      </c>
      <c r="BQ45" s="317">
        <f>AM45-AW45</f>
        <v>0</v>
      </c>
      <c r="BR45" s="317">
        <f>AN45-AX45</f>
        <v>49.593509999999696</v>
      </c>
      <c r="BS45" s="317">
        <f>AO45-AY45</f>
        <v>0</v>
      </c>
      <c r="BT45" s="317">
        <f>AP45-AZ45</f>
        <v>236.88013</v>
      </c>
      <c r="BU45" s="229">
        <v>1</v>
      </c>
      <c r="BV45" s="305"/>
      <c r="BW45" s="331" t="s">
        <v>268</v>
      </c>
      <c r="BY45" s="232">
        <v>286.5</v>
      </c>
      <c r="BZ45" s="232">
        <v>1</v>
      </c>
      <c r="CA45" s="317"/>
      <c r="CB45" s="232"/>
      <c r="CC45" s="232"/>
    </row>
    <row r="46" spans="1:81" s="229" customFormat="1" ht="15" customHeight="1" hidden="1">
      <c r="A46" s="230"/>
      <c r="B46" s="239" t="s">
        <v>83</v>
      </c>
      <c r="C46" s="232">
        <f t="shared" si="76"/>
        <v>0</v>
      </c>
      <c r="D46" s="233"/>
      <c r="E46" s="232">
        <f t="shared" si="77"/>
        <v>0</v>
      </c>
      <c r="F46" s="233"/>
      <c r="G46" s="232"/>
      <c r="H46" s="232">
        <f t="shared" si="78"/>
        <v>0</v>
      </c>
      <c r="I46" s="233"/>
      <c r="J46" s="232">
        <f t="shared" si="79"/>
        <v>0</v>
      </c>
      <c r="K46" s="232">
        <f t="shared" si="80"/>
        <v>0</v>
      </c>
      <c r="L46" s="240"/>
      <c r="M46" s="232"/>
      <c r="N46" s="232"/>
      <c r="O46" s="232"/>
      <c r="P46" s="232"/>
      <c r="Q46" s="232"/>
      <c r="R46" s="234"/>
      <c r="S46" s="232"/>
      <c r="T46" s="232"/>
      <c r="U46" s="232"/>
      <c r="V46" s="235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6"/>
      <c r="AL46" s="234"/>
      <c r="AM46" s="232"/>
      <c r="AN46" s="232"/>
      <c r="AO46" s="232"/>
      <c r="AP46" s="235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316"/>
      <c r="BQ46" s="317"/>
      <c r="BR46" s="317"/>
      <c r="BS46" s="317"/>
      <c r="BT46" s="317"/>
      <c r="BV46" s="305"/>
      <c r="BW46" s="332"/>
      <c r="BY46" s="232"/>
      <c r="BZ46" s="232"/>
      <c r="CA46" s="317"/>
      <c r="CB46" s="232"/>
      <c r="CC46" s="232"/>
    </row>
    <row r="47" spans="1:81" s="229" customFormat="1" ht="15" customHeight="1">
      <c r="A47" s="230">
        <v>33</v>
      </c>
      <c r="B47" s="239" t="s">
        <v>84</v>
      </c>
      <c r="C47" s="232">
        <f t="shared" si="76"/>
        <v>1687.334</v>
      </c>
      <c r="D47" s="233"/>
      <c r="E47" s="232">
        <f t="shared" si="77"/>
        <v>1687.334</v>
      </c>
      <c r="F47" s="233"/>
      <c r="G47" s="232"/>
      <c r="H47" s="232">
        <f t="shared" si="78"/>
        <v>5474.39012</v>
      </c>
      <c r="I47" s="233"/>
      <c r="J47" s="232">
        <f t="shared" si="79"/>
        <v>1687.334</v>
      </c>
      <c r="K47" s="232">
        <f t="shared" si="80"/>
        <v>3787.05612</v>
      </c>
      <c r="L47" s="240"/>
      <c r="M47" s="232">
        <f t="shared" si="18"/>
        <v>1687.334</v>
      </c>
      <c r="N47" s="232"/>
      <c r="O47" s="232">
        <v>1687.334</v>
      </c>
      <c r="P47" s="232"/>
      <c r="Q47" s="232"/>
      <c r="R47" s="234">
        <f t="shared" si="81"/>
        <v>1687.334</v>
      </c>
      <c r="S47" s="232"/>
      <c r="T47" s="232">
        <v>1687.334</v>
      </c>
      <c r="U47" s="232"/>
      <c r="V47" s="235"/>
      <c r="W47" s="232">
        <f t="shared" si="82"/>
        <v>0</v>
      </c>
      <c r="X47" s="232">
        <f aca="true" t="shared" si="92" ref="X47:AA56">N47-S47</f>
        <v>0</v>
      </c>
      <c r="Y47" s="232">
        <f t="shared" si="92"/>
        <v>0</v>
      </c>
      <c r="Z47" s="232">
        <f t="shared" si="92"/>
        <v>0</v>
      </c>
      <c r="AA47" s="232">
        <f t="shared" si="92"/>
        <v>0</v>
      </c>
      <c r="AB47" s="232">
        <f t="shared" si="83"/>
        <v>1687.334</v>
      </c>
      <c r="AC47" s="232"/>
      <c r="AD47" s="232">
        <f t="shared" si="84"/>
        <v>1687.334</v>
      </c>
      <c r="AE47" s="232">
        <f t="shared" si="84"/>
        <v>0</v>
      </c>
      <c r="AF47" s="232">
        <f t="shared" si="84"/>
        <v>0</v>
      </c>
      <c r="AG47" s="232">
        <f t="shared" si="85"/>
        <v>0</v>
      </c>
      <c r="AH47" s="232"/>
      <c r="AI47" s="232"/>
      <c r="AJ47" s="232"/>
      <c r="AK47" s="236"/>
      <c r="AL47" s="234">
        <f t="shared" si="86"/>
        <v>1687.334</v>
      </c>
      <c r="AM47" s="232"/>
      <c r="AN47" s="232">
        <f t="shared" si="87"/>
        <v>1687.334</v>
      </c>
      <c r="AO47" s="232">
        <f t="shared" si="87"/>
        <v>0</v>
      </c>
      <c r="AP47" s="235">
        <f t="shared" si="87"/>
        <v>0</v>
      </c>
      <c r="AQ47" s="232">
        <f aca="true" t="shared" si="93" ref="AQ47:AQ56">AR47+AS47+AT47+AU47</f>
        <v>1687.334</v>
      </c>
      <c r="AR47" s="232"/>
      <c r="AS47" s="232">
        <f>1687.334</f>
        <v>1687.334</v>
      </c>
      <c r="AT47" s="232"/>
      <c r="AU47" s="232"/>
      <c r="AV47" s="232">
        <f t="shared" si="88"/>
        <v>1687.334</v>
      </c>
      <c r="AW47" s="232"/>
      <c r="AX47" s="232">
        <f>1687.334</f>
        <v>1687.334</v>
      </c>
      <c r="AY47" s="232"/>
      <c r="AZ47" s="232"/>
      <c r="BA47" s="232">
        <f aca="true" t="shared" si="94" ref="BA47:BA56">BB47+BC47+BD47+BE47</f>
        <v>3787.05612</v>
      </c>
      <c r="BB47" s="232"/>
      <c r="BC47" s="232">
        <v>3787.05612</v>
      </c>
      <c r="BD47" s="232"/>
      <c r="BE47" s="232"/>
      <c r="BF47" s="232">
        <f t="shared" si="89"/>
        <v>3787.05612</v>
      </c>
      <c r="BG47" s="232"/>
      <c r="BH47" s="232">
        <v>3787.05612</v>
      </c>
      <c r="BI47" s="232"/>
      <c r="BJ47" s="232"/>
      <c r="BK47" s="232">
        <f t="shared" si="90"/>
        <v>5474.39012</v>
      </c>
      <c r="BL47" s="232">
        <f aca="true" t="shared" si="95" ref="BL47:BL56">AW47+BG47</f>
        <v>0</v>
      </c>
      <c r="BM47" s="232">
        <f aca="true" t="shared" si="96" ref="BM47:BM56">AX47+BH47</f>
        <v>5474.39012</v>
      </c>
      <c r="BN47" s="232">
        <f aca="true" t="shared" si="97" ref="BN47:BN56">AY47+BI47</f>
        <v>0</v>
      </c>
      <c r="BO47" s="232">
        <f aca="true" t="shared" si="98" ref="BO47:BO56">AZ47+BJ47</f>
        <v>0</v>
      </c>
      <c r="BP47" s="316">
        <f t="shared" si="91"/>
        <v>0</v>
      </c>
      <c r="BQ47" s="317">
        <f aca="true" t="shared" si="99" ref="BQ47:BQ56">AM47-AW47</f>
        <v>0</v>
      </c>
      <c r="BR47" s="317">
        <f aca="true" t="shared" si="100" ref="BR47:BR56">AN47-AX47</f>
        <v>0</v>
      </c>
      <c r="BS47" s="317">
        <f aca="true" t="shared" si="101" ref="BS47:BS56">AO47-AY47</f>
        <v>0</v>
      </c>
      <c r="BT47" s="317">
        <f aca="true" t="shared" si="102" ref="BT47:BT56">AP47-AZ47</f>
        <v>0</v>
      </c>
      <c r="BU47" s="229">
        <v>1</v>
      </c>
      <c r="BV47" s="305"/>
      <c r="BW47" s="331" t="s">
        <v>228</v>
      </c>
      <c r="BY47" s="232"/>
      <c r="BZ47" s="232">
        <v>1</v>
      </c>
      <c r="CA47" s="317"/>
      <c r="CB47" s="232"/>
      <c r="CC47" s="232"/>
    </row>
    <row r="48" spans="1:81" s="229" customFormat="1" ht="15" customHeight="1">
      <c r="A48" s="230">
        <v>34</v>
      </c>
      <c r="B48" s="239" t="s">
        <v>85</v>
      </c>
      <c r="C48" s="232">
        <f t="shared" si="76"/>
        <v>3751.372</v>
      </c>
      <c r="D48" s="233"/>
      <c r="E48" s="232">
        <f t="shared" si="77"/>
        <v>3751.372</v>
      </c>
      <c r="F48" s="233"/>
      <c r="G48" s="232"/>
      <c r="H48" s="232">
        <f t="shared" si="78"/>
        <v>4565.099999999999</v>
      </c>
      <c r="I48" s="233"/>
      <c r="J48" s="232">
        <f t="shared" si="79"/>
        <v>3751.372</v>
      </c>
      <c r="K48" s="232">
        <f t="shared" si="80"/>
        <v>813.728</v>
      </c>
      <c r="L48" s="240"/>
      <c r="M48" s="232">
        <f t="shared" si="18"/>
        <v>3751.372</v>
      </c>
      <c r="N48" s="232"/>
      <c r="O48" s="232">
        <v>3751.372</v>
      </c>
      <c r="P48" s="232"/>
      <c r="Q48" s="232"/>
      <c r="R48" s="234">
        <f t="shared" si="81"/>
        <v>3751.372</v>
      </c>
      <c r="S48" s="232"/>
      <c r="T48" s="232">
        <v>3751.372</v>
      </c>
      <c r="U48" s="232"/>
      <c r="V48" s="235"/>
      <c r="W48" s="232">
        <f t="shared" si="82"/>
        <v>0</v>
      </c>
      <c r="X48" s="232">
        <f t="shared" si="92"/>
        <v>0</v>
      </c>
      <c r="Y48" s="232">
        <f t="shared" si="92"/>
        <v>0</v>
      </c>
      <c r="Z48" s="232">
        <f t="shared" si="92"/>
        <v>0</v>
      </c>
      <c r="AA48" s="232">
        <f t="shared" si="92"/>
        <v>0</v>
      </c>
      <c r="AB48" s="232">
        <f t="shared" si="83"/>
        <v>3751.372</v>
      </c>
      <c r="AC48" s="232"/>
      <c r="AD48" s="232">
        <f t="shared" si="84"/>
        <v>3751.372</v>
      </c>
      <c r="AE48" s="232">
        <f t="shared" si="84"/>
        <v>0</v>
      </c>
      <c r="AF48" s="232">
        <f t="shared" si="84"/>
        <v>0</v>
      </c>
      <c r="AG48" s="232">
        <f t="shared" si="85"/>
        <v>0</v>
      </c>
      <c r="AH48" s="232"/>
      <c r="AI48" s="232"/>
      <c r="AJ48" s="232"/>
      <c r="AK48" s="236"/>
      <c r="AL48" s="234">
        <f t="shared" si="86"/>
        <v>3751.372</v>
      </c>
      <c r="AM48" s="232"/>
      <c r="AN48" s="232">
        <f t="shared" si="87"/>
        <v>3751.372</v>
      </c>
      <c r="AO48" s="232">
        <f t="shared" si="87"/>
        <v>0</v>
      </c>
      <c r="AP48" s="235">
        <f t="shared" si="87"/>
        <v>0</v>
      </c>
      <c r="AQ48" s="232">
        <f t="shared" si="93"/>
        <v>3751.372</v>
      </c>
      <c r="AR48" s="232"/>
      <c r="AS48" s="232">
        <f>3751.372</f>
        <v>3751.372</v>
      </c>
      <c r="AT48" s="232"/>
      <c r="AU48" s="232"/>
      <c r="AV48" s="232">
        <f t="shared" si="88"/>
        <v>3751.372</v>
      </c>
      <c r="AW48" s="232"/>
      <c r="AX48" s="232">
        <f>3751.372</f>
        <v>3751.372</v>
      </c>
      <c r="AY48" s="232"/>
      <c r="AZ48" s="232"/>
      <c r="BA48" s="232">
        <f t="shared" si="94"/>
        <v>813.728</v>
      </c>
      <c r="BB48" s="232"/>
      <c r="BC48" s="232">
        <v>813.728</v>
      </c>
      <c r="BD48" s="232"/>
      <c r="BE48" s="232"/>
      <c r="BF48" s="232">
        <f t="shared" si="89"/>
        <v>813.728</v>
      </c>
      <c r="BG48" s="232"/>
      <c r="BH48" s="232">
        <v>813.728</v>
      </c>
      <c r="BI48" s="232"/>
      <c r="BJ48" s="232"/>
      <c r="BK48" s="232">
        <f t="shared" si="90"/>
        <v>4565.099999999999</v>
      </c>
      <c r="BL48" s="232">
        <f t="shared" si="95"/>
        <v>0</v>
      </c>
      <c r="BM48" s="232">
        <f t="shared" si="96"/>
        <v>4565.099999999999</v>
      </c>
      <c r="BN48" s="232">
        <f t="shared" si="97"/>
        <v>0</v>
      </c>
      <c r="BO48" s="232">
        <f t="shared" si="98"/>
        <v>0</v>
      </c>
      <c r="BP48" s="316">
        <f t="shared" si="91"/>
        <v>0</v>
      </c>
      <c r="BQ48" s="317">
        <f t="shared" si="99"/>
        <v>0</v>
      </c>
      <c r="BR48" s="317">
        <f t="shared" si="100"/>
        <v>0</v>
      </c>
      <c r="BS48" s="317">
        <f t="shared" si="101"/>
        <v>0</v>
      </c>
      <c r="BT48" s="317">
        <f t="shared" si="102"/>
        <v>0</v>
      </c>
      <c r="BU48" s="229">
        <v>1</v>
      </c>
      <c r="BV48" s="305"/>
      <c r="BW48" s="331" t="s">
        <v>228</v>
      </c>
      <c r="BY48" s="232"/>
      <c r="BZ48" s="232">
        <v>1</v>
      </c>
      <c r="CA48" s="317"/>
      <c r="CB48" s="232"/>
      <c r="CC48" s="232"/>
    </row>
    <row r="49" spans="1:81" s="229" customFormat="1" ht="15" customHeight="1">
      <c r="A49" s="230">
        <v>35</v>
      </c>
      <c r="B49" s="239" t="s">
        <v>86</v>
      </c>
      <c r="C49" s="232">
        <f t="shared" si="76"/>
        <v>705.548</v>
      </c>
      <c r="D49" s="233"/>
      <c r="E49" s="232">
        <f t="shared" si="77"/>
        <v>705.548</v>
      </c>
      <c r="F49" s="233"/>
      <c r="G49" s="232"/>
      <c r="H49" s="232">
        <f t="shared" si="78"/>
        <v>1507.45485</v>
      </c>
      <c r="I49" s="233"/>
      <c r="J49" s="232">
        <f t="shared" si="79"/>
        <v>705.548</v>
      </c>
      <c r="K49" s="232">
        <f t="shared" si="80"/>
        <v>801.90685</v>
      </c>
      <c r="L49" s="240"/>
      <c r="M49" s="232">
        <f t="shared" si="18"/>
        <v>705.548</v>
      </c>
      <c r="N49" s="232"/>
      <c r="O49" s="232">
        <v>705.548</v>
      </c>
      <c r="P49" s="232"/>
      <c r="Q49" s="232"/>
      <c r="R49" s="234">
        <f t="shared" si="81"/>
        <v>705.548</v>
      </c>
      <c r="S49" s="232"/>
      <c r="T49" s="232">
        <v>705.548</v>
      </c>
      <c r="U49" s="232"/>
      <c r="V49" s="235"/>
      <c r="W49" s="232">
        <f t="shared" si="82"/>
        <v>0</v>
      </c>
      <c r="X49" s="232">
        <f t="shared" si="92"/>
        <v>0</v>
      </c>
      <c r="Y49" s="232">
        <f t="shared" si="92"/>
        <v>0</v>
      </c>
      <c r="Z49" s="232">
        <f t="shared" si="92"/>
        <v>0</v>
      </c>
      <c r="AA49" s="232">
        <f t="shared" si="92"/>
        <v>0</v>
      </c>
      <c r="AB49" s="232">
        <f t="shared" si="83"/>
        <v>705.548</v>
      </c>
      <c r="AC49" s="232"/>
      <c r="AD49" s="232">
        <f t="shared" si="84"/>
        <v>705.548</v>
      </c>
      <c r="AE49" s="232">
        <f t="shared" si="84"/>
        <v>0</v>
      </c>
      <c r="AF49" s="232">
        <f t="shared" si="84"/>
        <v>0</v>
      </c>
      <c r="AG49" s="232">
        <f t="shared" si="85"/>
        <v>0</v>
      </c>
      <c r="AH49" s="232"/>
      <c r="AI49" s="232"/>
      <c r="AJ49" s="232"/>
      <c r="AK49" s="236"/>
      <c r="AL49" s="234">
        <f t="shared" si="86"/>
        <v>705.548</v>
      </c>
      <c r="AM49" s="232"/>
      <c r="AN49" s="232">
        <f t="shared" si="87"/>
        <v>705.548</v>
      </c>
      <c r="AO49" s="232">
        <f t="shared" si="87"/>
        <v>0</v>
      </c>
      <c r="AP49" s="235">
        <f t="shared" si="87"/>
        <v>0</v>
      </c>
      <c r="AQ49" s="232">
        <f t="shared" si="93"/>
        <v>705.5</v>
      </c>
      <c r="AR49" s="232"/>
      <c r="AS49" s="232">
        <v>705.5</v>
      </c>
      <c r="AT49" s="232"/>
      <c r="AU49" s="232"/>
      <c r="AV49" s="232">
        <f t="shared" si="88"/>
        <v>705.548</v>
      </c>
      <c r="AW49" s="232"/>
      <c r="AX49" s="232">
        <f>AN49</f>
        <v>705.548</v>
      </c>
      <c r="AY49" s="232"/>
      <c r="AZ49" s="232"/>
      <c r="BA49" s="232">
        <f t="shared" si="94"/>
        <v>801.90685</v>
      </c>
      <c r="BB49" s="232"/>
      <c r="BC49" s="232">
        <v>801.90685</v>
      </c>
      <c r="BD49" s="232"/>
      <c r="BE49" s="232"/>
      <c r="BF49" s="232">
        <f t="shared" si="89"/>
        <v>801.90685</v>
      </c>
      <c r="BG49" s="232"/>
      <c r="BH49" s="232">
        <v>801.90685</v>
      </c>
      <c r="BI49" s="232"/>
      <c r="BJ49" s="232"/>
      <c r="BK49" s="232">
        <f t="shared" si="90"/>
        <v>1507.45485</v>
      </c>
      <c r="BL49" s="232">
        <f t="shared" si="95"/>
        <v>0</v>
      </c>
      <c r="BM49" s="232">
        <f t="shared" si="96"/>
        <v>1507.45485</v>
      </c>
      <c r="BN49" s="232">
        <f t="shared" si="97"/>
        <v>0</v>
      </c>
      <c r="BO49" s="232">
        <f t="shared" si="98"/>
        <v>0</v>
      </c>
      <c r="BP49" s="316">
        <f t="shared" si="91"/>
        <v>0</v>
      </c>
      <c r="BQ49" s="317">
        <f t="shared" si="99"/>
        <v>0</v>
      </c>
      <c r="BR49" s="317">
        <f t="shared" si="100"/>
        <v>0</v>
      </c>
      <c r="BS49" s="317">
        <f t="shared" si="101"/>
        <v>0</v>
      </c>
      <c r="BT49" s="317">
        <f t="shared" si="102"/>
        <v>0</v>
      </c>
      <c r="BU49" s="229">
        <v>1</v>
      </c>
      <c r="BV49" s="305"/>
      <c r="BW49" s="331" t="s">
        <v>228</v>
      </c>
      <c r="BY49" s="232"/>
      <c r="BZ49" s="232">
        <v>1</v>
      </c>
      <c r="CA49" s="317"/>
      <c r="CB49" s="232"/>
      <c r="CC49" s="232"/>
    </row>
    <row r="50" spans="1:81" s="229" customFormat="1" ht="15" customHeight="1">
      <c r="A50" s="230">
        <v>36</v>
      </c>
      <c r="B50" s="239" t="s">
        <v>87</v>
      </c>
      <c r="C50" s="232">
        <f t="shared" si="76"/>
        <v>332.886</v>
      </c>
      <c r="D50" s="233"/>
      <c r="E50" s="232">
        <f t="shared" si="77"/>
        <v>332.886</v>
      </c>
      <c r="F50" s="233"/>
      <c r="G50" s="232"/>
      <c r="H50" s="232">
        <f t="shared" si="78"/>
        <v>562.94172</v>
      </c>
      <c r="I50" s="233"/>
      <c r="J50" s="232">
        <f t="shared" si="79"/>
        <v>332.886</v>
      </c>
      <c r="K50" s="232">
        <f t="shared" si="80"/>
        <v>230.05572</v>
      </c>
      <c r="L50" s="240"/>
      <c r="M50" s="232">
        <f t="shared" si="18"/>
        <v>332.886</v>
      </c>
      <c r="N50" s="232"/>
      <c r="O50" s="232"/>
      <c r="P50" s="232"/>
      <c r="Q50" s="232">
        <v>332.886</v>
      </c>
      <c r="R50" s="234">
        <f t="shared" si="81"/>
        <v>332.886</v>
      </c>
      <c r="S50" s="232"/>
      <c r="T50" s="232"/>
      <c r="U50" s="232"/>
      <c r="V50" s="235">
        <v>332.886</v>
      </c>
      <c r="W50" s="232">
        <f t="shared" si="82"/>
        <v>0</v>
      </c>
      <c r="X50" s="232">
        <f t="shared" si="92"/>
        <v>0</v>
      </c>
      <c r="Y50" s="232">
        <f t="shared" si="92"/>
        <v>0</v>
      </c>
      <c r="Z50" s="232">
        <f t="shared" si="92"/>
        <v>0</v>
      </c>
      <c r="AA50" s="232">
        <f t="shared" si="92"/>
        <v>0</v>
      </c>
      <c r="AB50" s="232">
        <f t="shared" si="83"/>
        <v>332.886</v>
      </c>
      <c r="AC50" s="232"/>
      <c r="AD50" s="232">
        <f t="shared" si="84"/>
        <v>0</v>
      </c>
      <c r="AE50" s="232">
        <f t="shared" si="84"/>
        <v>0</v>
      </c>
      <c r="AF50" s="232">
        <f t="shared" si="84"/>
        <v>332.886</v>
      </c>
      <c r="AG50" s="232">
        <f t="shared" si="85"/>
        <v>0</v>
      </c>
      <c r="AH50" s="232"/>
      <c r="AI50" s="232"/>
      <c r="AJ50" s="232"/>
      <c r="AK50" s="236"/>
      <c r="AL50" s="234">
        <f t="shared" si="86"/>
        <v>332.886</v>
      </c>
      <c r="AM50" s="232"/>
      <c r="AN50" s="232">
        <f t="shared" si="87"/>
        <v>0</v>
      </c>
      <c r="AO50" s="232">
        <f t="shared" si="87"/>
        <v>0</v>
      </c>
      <c r="AP50" s="235">
        <f t="shared" si="87"/>
        <v>332.886</v>
      </c>
      <c r="AQ50" s="232">
        <f t="shared" si="93"/>
        <v>332.9</v>
      </c>
      <c r="AR50" s="232"/>
      <c r="AS50" s="232"/>
      <c r="AT50" s="232"/>
      <c r="AU50" s="232">
        <v>332.9</v>
      </c>
      <c r="AV50" s="232">
        <f t="shared" si="88"/>
        <v>332.886</v>
      </c>
      <c r="AW50" s="232"/>
      <c r="AX50" s="232"/>
      <c r="AY50" s="232"/>
      <c r="AZ50" s="232">
        <f>AP50</f>
        <v>332.886</v>
      </c>
      <c r="BA50" s="232">
        <f t="shared" si="94"/>
        <v>230.05572</v>
      </c>
      <c r="BB50" s="232"/>
      <c r="BC50" s="232"/>
      <c r="BD50" s="232"/>
      <c r="BE50" s="232">
        <v>230.05572</v>
      </c>
      <c r="BF50" s="232">
        <f t="shared" si="89"/>
        <v>230.05572</v>
      </c>
      <c r="BG50" s="232"/>
      <c r="BH50" s="232"/>
      <c r="BI50" s="232"/>
      <c r="BJ50" s="232">
        <v>230.05572</v>
      </c>
      <c r="BK50" s="232">
        <f t="shared" si="90"/>
        <v>562.94172</v>
      </c>
      <c r="BL50" s="232">
        <f t="shared" si="95"/>
        <v>0</v>
      </c>
      <c r="BM50" s="232">
        <f t="shared" si="96"/>
        <v>0</v>
      </c>
      <c r="BN50" s="232">
        <f t="shared" si="97"/>
        <v>0</v>
      </c>
      <c r="BO50" s="232">
        <f t="shared" si="98"/>
        <v>562.94172</v>
      </c>
      <c r="BP50" s="316">
        <f t="shared" si="91"/>
        <v>0</v>
      </c>
      <c r="BQ50" s="317">
        <f t="shared" si="99"/>
        <v>0</v>
      </c>
      <c r="BR50" s="317">
        <f t="shared" si="100"/>
        <v>0</v>
      </c>
      <c r="BS50" s="317">
        <f t="shared" si="101"/>
        <v>0</v>
      </c>
      <c r="BT50" s="317">
        <f t="shared" si="102"/>
        <v>0</v>
      </c>
      <c r="BU50" s="229">
        <v>1</v>
      </c>
      <c r="BV50" s="305"/>
      <c r="BW50" s="331" t="s">
        <v>228</v>
      </c>
      <c r="BY50" s="232"/>
      <c r="BZ50" s="232">
        <v>1</v>
      </c>
      <c r="CA50" s="317"/>
      <c r="CB50" s="232"/>
      <c r="CC50" s="232"/>
    </row>
    <row r="51" spans="1:81" s="229" customFormat="1" ht="15" customHeight="1">
      <c r="A51" s="230">
        <v>37</v>
      </c>
      <c r="B51" s="239" t="s">
        <v>88</v>
      </c>
      <c r="C51" s="232">
        <f t="shared" si="76"/>
        <v>1025.574</v>
      </c>
      <c r="D51" s="233"/>
      <c r="E51" s="232">
        <f t="shared" si="77"/>
        <v>1025.574</v>
      </c>
      <c r="F51" s="233"/>
      <c r="G51" s="232"/>
      <c r="H51" s="232">
        <f t="shared" si="78"/>
        <v>1858.4824400000002</v>
      </c>
      <c r="I51" s="233"/>
      <c r="J51" s="232">
        <f t="shared" si="79"/>
        <v>1025.574</v>
      </c>
      <c r="K51" s="232">
        <f t="shared" si="80"/>
        <v>832.90844</v>
      </c>
      <c r="L51" s="240"/>
      <c r="M51" s="232">
        <f t="shared" si="18"/>
        <v>1025.574</v>
      </c>
      <c r="N51" s="232"/>
      <c r="O51" s="232">
        <v>1025.574</v>
      </c>
      <c r="P51" s="232"/>
      <c r="Q51" s="232"/>
      <c r="R51" s="234">
        <f t="shared" si="81"/>
        <v>1025.574</v>
      </c>
      <c r="S51" s="232"/>
      <c r="T51" s="232">
        <v>1025.574</v>
      </c>
      <c r="U51" s="232"/>
      <c r="V51" s="235"/>
      <c r="W51" s="232">
        <f t="shared" si="82"/>
        <v>0</v>
      </c>
      <c r="X51" s="232">
        <f t="shared" si="92"/>
        <v>0</v>
      </c>
      <c r="Y51" s="232">
        <f t="shared" si="92"/>
        <v>0</v>
      </c>
      <c r="Z51" s="232">
        <f t="shared" si="92"/>
        <v>0</v>
      </c>
      <c r="AA51" s="232">
        <f t="shared" si="92"/>
        <v>0</v>
      </c>
      <c r="AB51" s="232">
        <f t="shared" si="83"/>
        <v>1025.574</v>
      </c>
      <c r="AC51" s="232"/>
      <c r="AD51" s="232">
        <f t="shared" si="84"/>
        <v>1025.574</v>
      </c>
      <c r="AE51" s="232">
        <f t="shared" si="84"/>
        <v>0</v>
      </c>
      <c r="AF51" s="232">
        <f t="shared" si="84"/>
        <v>0</v>
      </c>
      <c r="AG51" s="232">
        <f t="shared" si="85"/>
        <v>0</v>
      </c>
      <c r="AH51" s="232"/>
      <c r="AI51" s="232"/>
      <c r="AJ51" s="232"/>
      <c r="AK51" s="236"/>
      <c r="AL51" s="234">
        <f t="shared" si="86"/>
        <v>1025.574</v>
      </c>
      <c r="AM51" s="232"/>
      <c r="AN51" s="232">
        <f t="shared" si="87"/>
        <v>1025.574</v>
      </c>
      <c r="AO51" s="232">
        <f t="shared" si="87"/>
        <v>0</v>
      </c>
      <c r="AP51" s="235">
        <f t="shared" si="87"/>
        <v>0</v>
      </c>
      <c r="AQ51" s="232">
        <f t="shared" si="93"/>
        <v>1025.6</v>
      </c>
      <c r="AR51" s="232"/>
      <c r="AS51" s="232">
        <v>1025.6</v>
      </c>
      <c r="AT51" s="232"/>
      <c r="AU51" s="232"/>
      <c r="AV51" s="232">
        <f t="shared" si="88"/>
        <v>1025.574</v>
      </c>
      <c r="AW51" s="232"/>
      <c r="AX51" s="232">
        <f>AN51</f>
        <v>1025.574</v>
      </c>
      <c r="AY51" s="232"/>
      <c r="AZ51" s="232"/>
      <c r="BA51" s="232">
        <f t="shared" si="94"/>
        <v>832.90844</v>
      </c>
      <c r="BB51" s="232"/>
      <c r="BC51" s="232">
        <v>832.90844</v>
      </c>
      <c r="BD51" s="232"/>
      <c r="BE51" s="232"/>
      <c r="BF51" s="232">
        <f t="shared" si="89"/>
        <v>832.90844</v>
      </c>
      <c r="BG51" s="232"/>
      <c r="BH51" s="232">
        <v>832.90844</v>
      </c>
      <c r="BI51" s="232"/>
      <c r="BJ51" s="232"/>
      <c r="BK51" s="232">
        <f t="shared" si="90"/>
        <v>1858.4824400000002</v>
      </c>
      <c r="BL51" s="232">
        <f t="shared" si="95"/>
        <v>0</v>
      </c>
      <c r="BM51" s="232">
        <f t="shared" si="96"/>
        <v>1858.4824400000002</v>
      </c>
      <c r="BN51" s="232">
        <f t="shared" si="97"/>
        <v>0</v>
      </c>
      <c r="BO51" s="232">
        <f t="shared" si="98"/>
        <v>0</v>
      </c>
      <c r="BP51" s="316">
        <f t="shared" si="91"/>
        <v>0</v>
      </c>
      <c r="BQ51" s="317">
        <f t="shared" si="99"/>
        <v>0</v>
      </c>
      <c r="BR51" s="317">
        <f t="shared" si="100"/>
        <v>0</v>
      </c>
      <c r="BS51" s="317">
        <f t="shared" si="101"/>
        <v>0</v>
      </c>
      <c r="BT51" s="317">
        <f t="shared" si="102"/>
        <v>0</v>
      </c>
      <c r="BU51" s="229">
        <v>1</v>
      </c>
      <c r="BV51" s="305"/>
      <c r="BW51" s="331" t="s">
        <v>228</v>
      </c>
      <c r="BY51" s="232"/>
      <c r="BZ51" s="232">
        <v>1</v>
      </c>
      <c r="CA51" s="317"/>
      <c r="CB51" s="232"/>
      <c r="CC51" s="232"/>
    </row>
    <row r="52" spans="1:81" s="229" customFormat="1" ht="15" customHeight="1">
      <c r="A52" s="230">
        <v>38</v>
      </c>
      <c r="B52" s="239" t="s">
        <v>89</v>
      </c>
      <c r="C52" s="232">
        <f t="shared" si="76"/>
        <v>1859.594</v>
      </c>
      <c r="D52" s="233"/>
      <c r="E52" s="232">
        <f t="shared" si="77"/>
        <v>1859.594</v>
      </c>
      <c r="F52" s="233"/>
      <c r="G52" s="232"/>
      <c r="H52" s="232">
        <f t="shared" si="78"/>
        <v>1789.57474</v>
      </c>
      <c r="I52" s="233"/>
      <c r="J52" s="232">
        <f t="shared" si="79"/>
        <v>1596.34728</v>
      </c>
      <c r="K52" s="232">
        <f t="shared" si="80"/>
        <v>193.22746</v>
      </c>
      <c r="L52" s="240"/>
      <c r="M52" s="232">
        <f t="shared" si="18"/>
        <v>1859.594</v>
      </c>
      <c r="N52" s="232"/>
      <c r="O52" s="232">
        <v>1027.143</v>
      </c>
      <c r="P52" s="232"/>
      <c r="Q52" s="232">
        <f>867.855-35.404</f>
        <v>832.451</v>
      </c>
      <c r="R52" s="234">
        <f t="shared" si="81"/>
        <v>1596.34728</v>
      </c>
      <c r="S52" s="232"/>
      <c r="T52" s="232">
        <f>1027.143-145.27891</f>
        <v>881.86409</v>
      </c>
      <c r="U52" s="232"/>
      <c r="V52" s="232">
        <f>832.451-117.96781</f>
        <v>714.48319</v>
      </c>
      <c r="W52" s="232">
        <f t="shared" si="82"/>
        <v>263.24672</v>
      </c>
      <c r="X52" s="232">
        <f t="shared" si="92"/>
        <v>0</v>
      </c>
      <c r="Y52" s="232">
        <f t="shared" si="92"/>
        <v>145.27891</v>
      </c>
      <c r="Z52" s="232">
        <f t="shared" si="92"/>
        <v>0</v>
      </c>
      <c r="AA52" s="232">
        <f t="shared" si="92"/>
        <v>117.96780999999999</v>
      </c>
      <c r="AB52" s="232">
        <f t="shared" si="83"/>
        <v>1596.34728</v>
      </c>
      <c r="AC52" s="232"/>
      <c r="AD52" s="232">
        <f t="shared" si="84"/>
        <v>881.86409</v>
      </c>
      <c r="AE52" s="232">
        <f t="shared" si="84"/>
        <v>0</v>
      </c>
      <c r="AF52" s="232">
        <f t="shared" si="84"/>
        <v>714.48319</v>
      </c>
      <c r="AG52" s="232">
        <f t="shared" si="85"/>
        <v>263.24672</v>
      </c>
      <c r="AH52" s="232"/>
      <c r="AI52" s="258">
        <v>145.27891</v>
      </c>
      <c r="AJ52" s="258"/>
      <c r="AK52" s="259">
        <v>117.96781</v>
      </c>
      <c r="AL52" s="234">
        <f t="shared" si="86"/>
        <v>1596.34728</v>
      </c>
      <c r="AM52" s="232"/>
      <c r="AN52" s="232">
        <f>1027.143-145.27891</f>
        <v>881.86409</v>
      </c>
      <c r="AO52" s="232">
        <f t="shared" si="87"/>
        <v>0</v>
      </c>
      <c r="AP52" s="235">
        <f>832.451-117.96781</f>
        <v>714.48319</v>
      </c>
      <c r="AQ52" s="232">
        <f t="shared" si="93"/>
        <v>1596.34728</v>
      </c>
      <c r="AR52" s="232"/>
      <c r="AS52" s="232">
        <f>1027.143-145.27891</f>
        <v>881.86409</v>
      </c>
      <c r="AT52" s="232"/>
      <c r="AU52" s="232">
        <f>832.451-117.96781</f>
        <v>714.48319</v>
      </c>
      <c r="AV52" s="232">
        <f t="shared" si="88"/>
        <v>1596.34728</v>
      </c>
      <c r="AW52" s="232"/>
      <c r="AX52" s="232">
        <f>1027.143-145.27891</f>
        <v>881.86409</v>
      </c>
      <c r="AY52" s="232"/>
      <c r="AZ52" s="232">
        <f>832.451-117.96781</f>
        <v>714.48319</v>
      </c>
      <c r="BA52" s="232">
        <f t="shared" si="94"/>
        <v>193.22746</v>
      </c>
      <c r="BB52" s="232"/>
      <c r="BC52" s="232">
        <v>155.62307</v>
      </c>
      <c r="BD52" s="232"/>
      <c r="BE52" s="232">
        <v>37.60439</v>
      </c>
      <c r="BF52" s="232">
        <f t="shared" si="89"/>
        <v>193.22746</v>
      </c>
      <c r="BG52" s="232"/>
      <c r="BH52" s="232">
        <v>155.62307</v>
      </c>
      <c r="BI52" s="232"/>
      <c r="BJ52" s="232">
        <v>37.60439</v>
      </c>
      <c r="BK52" s="232">
        <f t="shared" si="90"/>
        <v>1789.57474</v>
      </c>
      <c r="BL52" s="232">
        <f t="shared" si="95"/>
        <v>0</v>
      </c>
      <c r="BM52" s="232">
        <f t="shared" si="96"/>
        <v>1037.4871600000001</v>
      </c>
      <c r="BN52" s="232">
        <f t="shared" si="97"/>
        <v>0</v>
      </c>
      <c r="BO52" s="232">
        <f t="shared" si="98"/>
        <v>752.08758</v>
      </c>
      <c r="BP52" s="316">
        <f t="shared" si="91"/>
        <v>0</v>
      </c>
      <c r="BQ52" s="317">
        <f t="shared" si="99"/>
        <v>0</v>
      </c>
      <c r="BR52" s="317">
        <f t="shared" si="100"/>
        <v>0</v>
      </c>
      <c r="BS52" s="317">
        <f t="shared" si="101"/>
        <v>0</v>
      </c>
      <c r="BT52" s="317">
        <f t="shared" si="102"/>
        <v>0</v>
      </c>
      <c r="BU52" s="229">
        <v>1</v>
      </c>
      <c r="BV52" s="305"/>
      <c r="BW52" s="331" t="s">
        <v>228</v>
      </c>
      <c r="BY52" s="232"/>
      <c r="BZ52" s="232">
        <v>1</v>
      </c>
      <c r="CA52" s="317"/>
      <c r="CB52" s="232"/>
      <c r="CC52" s="232"/>
    </row>
    <row r="53" spans="1:81" s="229" customFormat="1" ht="23.25" customHeight="1">
      <c r="A53" s="230">
        <v>39</v>
      </c>
      <c r="B53" s="239" t="s">
        <v>90</v>
      </c>
      <c r="C53" s="232">
        <f t="shared" si="76"/>
        <v>744.58</v>
      </c>
      <c r="D53" s="233"/>
      <c r="E53" s="232">
        <f t="shared" si="77"/>
        <v>744.58</v>
      </c>
      <c r="F53" s="233"/>
      <c r="G53" s="232"/>
      <c r="H53" s="232">
        <f t="shared" si="78"/>
        <v>782.2433100000001</v>
      </c>
      <c r="I53" s="233"/>
      <c r="J53" s="232">
        <f t="shared" si="79"/>
        <v>744.58</v>
      </c>
      <c r="K53" s="232">
        <f t="shared" si="80"/>
        <v>37.66331</v>
      </c>
      <c r="L53" s="240"/>
      <c r="M53" s="232">
        <f t="shared" si="18"/>
        <v>744.58</v>
      </c>
      <c r="N53" s="232"/>
      <c r="O53" s="232">
        <v>744.58</v>
      </c>
      <c r="P53" s="232"/>
      <c r="Q53" s="232"/>
      <c r="R53" s="234">
        <f t="shared" si="81"/>
        <v>744.58</v>
      </c>
      <c r="S53" s="232"/>
      <c r="T53" s="232">
        <v>744.58</v>
      </c>
      <c r="U53" s="232"/>
      <c r="V53" s="235"/>
      <c r="W53" s="232">
        <f t="shared" si="82"/>
        <v>0</v>
      </c>
      <c r="X53" s="232">
        <f t="shared" si="92"/>
        <v>0</v>
      </c>
      <c r="Y53" s="232">
        <f t="shared" si="92"/>
        <v>0</v>
      </c>
      <c r="Z53" s="232">
        <f t="shared" si="92"/>
        <v>0</v>
      </c>
      <c r="AA53" s="232">
        <f t="shared" si="92"/>
        <v>0</v>
      </c>
      <c r="AB53" s="232">
        <f t="shared" si="83"/>
        <v>744.58</v>
      </c>
      <c r="AC53" s="232"/>
      <c r="AD53" s="232">
        <f t="shared" si="84"/>
        <v>744.58</v>
      </c>
      <c r="AE53" s="232">
        <f t="shared" si="84"/>
        <v>0</v>
      </c>
      <c r="AF53" s="232">
        <f t="shared" si="84"/>
        <v>0</v>
      </c>
      <c r="AG53" s="232">
        <f t="shared" si="85"/>
        <v>0</v>
      </c>
      <c r="AH53" s="232"/>
      <c r="AI53" s="232"/>
      <c r="AJ53" s="232"/>
      <c r="AK53" s="236"/>
      <c r="AL53" s="234">
        <f t="shared" si="86"/>
        <v>744.58</v>
      </c>
      <c r="AM53" s="232"/>
      <c r="AN53" s="232">
        <f t="shared" si="87"/>
        <v>744.58</v>
      </c>
      <c r="AO53" s="232">
        <f t="shared" si="87"/>
        <v>0</v>
      </c>
      <c r="AP53" s="235">
        <f t="shared" si="87"/>
        <v>0</v>
      </c>
      <c r="AQ53" s="232">
        <f t="shared" si="93"/>
        <v>670</v>
      </c>
      <c r="AR53" s="232"/>
      <c r="AS53" s="232">
        <f>670</f>
        <v>670</v>
      </c>
      <c r="AT53" s="232"/>
      <c r="AU53" s="232"/>
      <c r="AV53" s="232">
        <f t="shared" si="88"/>
        <v>670</v>
      </c>
      <c r="AW53" s="232"/>
      <c r="AX53" s="232">
        <f>670</f>
        <v>670</v>
      </c>
      <c r="AY53" s="232"/>
      <c r="AZ53" s="232"/>
      <c r="BA53" s="232">
        <f t="shared" si="94"/>
        <v>37.66331</v>
      </c>
      <c r="BB53" s="232"/>
      <c r="BC53" s="232">
        <v>37.66331</v>
      </c>
      <c r="BD53" s="232"/>
      <c r="BE53" s="232"/>
      <c r="BF53" s="232">
        <f t="shared" si="89"/>
        <v>37.66331</v>
      </c>
      <c r="BG53" s="232"/>
      <c r="BH53" s="232">
        <v>37.66331</v>
      </c>
      <c r="BI53" s="232"/>
      <c r="BJ53" s="232"/>
      <c r="BK53" s="232">
        <f t="shared" si="90"/>
        <v>707.66331</v>
      </c>
      <c r="BL53" s="232">
        <f t="shared" si="95"/>
        <v>0</v>
      </c>
      <c r="BM53" s="232">
        <f t="shared" si="96"/>
        <v>707.66331</v>
      </c>
      <c r="BN53" s="232">
        <f t="shared" si="97"/>
        <v>0</v>
      </c>
      <c r="BO53" s="232">
        <f t="shared" si="98"/>
        <v>0</v>
      </c>
      <c r="BP53" s="316">
        <f t="shared" si="91"/>
        <v>74.58000000000004</v>
      </c>
      <c r="BQ53" s="317">
        <f t="shared" si="99"/>
        <v>0</v>
      </c>
      <c r="BR53" s="317">
        <f t="shared" si="100"/>
        <v>74.58000000000004</v>
      </c>
      <c r="BS53" s="317">
        <f t="shared" si="101"/>
        <v>0</v>
      </c>
      <c r="BT53" s="317">
        <f t="shared" si="102"/>
        <v>0</v>
      </c>
      <c r="BU53" s="229">
        <v>1</v>
      </c>
      <c r="BV53" s="305"/>
      <c r="BW53" s="331" t="s">
        <v>267</v>
      </c>
      <c r="BY53" s="232">
        <v>74.6</v>
      </c>
      <c r="BZ53" s="232">
        <v>1</v>
      </c>
      <c r="CA53" s="317"/>
      <c r="CB53" s="232"/>
      <c r="CC53" s="232"/>
    </row>
    <row r="54" spans="1:81" s="229" customFormat="1" ht="15" customHeight="1">
      <c r="A54" s="230">
        <v>40</v>
      </c>
      <c r="B54" s="239" t="s">
        <v>91</v>
      </c>
      <c r="C54" s="232">
        <f t="shared" si="76"/>
        <v>1843.954</v>
      </c>
      <c r="D54" s="233"/>
      <c r="E54" s="232">
        <f t="shared" si="77"/>
        <v>1843.954</v>
      </c>
      <c r="F54" s="233"/>
      <c r="G54" s="232"/>
      <c r="H54" s="232">
        <f t="shared" si="78"/>
        <v>6465.345990000001</v>
      </c>
      <c r="I54" s="233"/>
      <c r="J54" s="232">
        <f t="shared" si="79"/>
        <v>1830.45114</v>
      </c>
      <c r="K54" s="232">
        <f t="shared" si="80"/>
        <v>4634.894850000001</v>
      </c>
      <c r="L54" s="240"/>
      <c r="M54" s="232">
        <f t="shared" si="18"/>
        <v>1843.954</v>
      </c>
      <c r="N54" s="232"/>
      <c r="O54" s="232">
        <v>987.337</v>
      </c>
      <c r="P54" s="232"/>
      <c r="Q54" s="232">
        <v>856.617</v>
      </c>
      <c r="R54" s="234">
        <f t="shared" si="81"/>
        <v>1830.45114</v>
      </c>
      <c r="S54" s="232"/>
      <c r="T54" s="232">
        <f>987.337-4.93669</f>
        <v>982.40031</v>
      </c>
      <c r="U54" s="232"/>
      <c r="V54" s="235">
        <f>856.617-8.56617</f>
        <v>848.0508299999999</v>
      </c>
      <c r="W54" s="232">
        <f t="shared" si="82"/>
        <v>13.502860000000055</v>
      </c>
      <c r="X54" s="232">
        <f t="shared" si="92"/>
        <v>0</v>
      </c>
      <c r="Y54" s="232">
        <f t="shared" si="92"/>
        <v>4.936689999999999</v>
      </c>
      <c r="Z54" s="232">
        <f t="shared" si="92"/>
        <v>0</v>
      </c>
      <c r="AA54" s="232">
        <f t="shared" si="92"/>
        <v>8.566170000000056</v>
      </c>
      <c r="AB54" s="232">
        <f t="shared" si="83"/>
        <v>1830.45114</v>
      </c>
      <c r="AC54" s="232"/>
      <c r="AD54" s="232">
        <f t="shared" si="84"/>
        <v>982.40031</v>
      </c>
      <c r="AE54" s="232">
        <f t="shared" si="84"/>
        <v>0</v>
      </c>
      <c r="AF54" s="232">
        <f t="shared" si="84"/>
        <v>848.0508299999999</v>
      </c>
      <c r="AG54" s="232">
        <f t="shared" si="85"/>
        <v>13.502859999999998</v>
      </c>
      <c r="AH54" s="232"/>
      <c r="AI54" s="258">
        <v>4.93669</v>
      </c>
      <c r="AJ54" s="258"/>
      <c r="AK54" s="259">
        <v>8.56617</v>
      </c>
      <c r="AL54" s="234">
        <f t="shared" si="86"/>
        <v>1830.45114</v>
      </c>
      <c r="AM54" s="232"/>
      <c r="AN54" s="232">
        <f>987.337-4.93669</f>
        <v>982.40031</v>
      </c>
      <c r="AO54" s="232">
        <f t="shared" si="87"/>
        <v>0</v>
      </c>
      <c r="AP54" s="235">
        <f>856.617-8.56617</f>
        <v>848.0508299999999</v>
      </c>
      <c r="AQ54" s="232">
        <f t="shared" si="93"/>
        <v>1830.45114</v>
      </c>
      <c r="AR54" s="232"/>
      <c r="AS54" s="232">
        <f>987.337-4.93669</f>
        <v>982.40031</v>
      </c>
      <c r="AT54" s="232"/>
      <c r="AU54" s="232">
        <f>856.617-8.56617</f>
        <v>848.0508299999999</v>
      </c>
      <c r="AV54" s="232">
        <f t="shared" si="88"/>
        <v>1830.45114</v>
      </c>
      <c r="AW54" s="232"/>
      <c r="AX54" s="232">
        <f>987.337-4.93669</f>
        <v>982.40031</v>
      </c>
      <c r="AY54" s="232"/>
      <c r="AZ54" s="232">
        <f>856.617-8.56617</f>
        <v>848.0508299999999</v>
      </c>
      <c r="BA54" s="232">
        <f t="shared" si="94"/>
        <v>4634.894850000001</v>
      </c>
      <c r="BB54" s="232"/>
      <c r="BC54" s="232">
        <v>4569.24696</v>
      </c>
      <c r="BD54" s="232"/>
      <c r="BE54" s="232">
        <v>65.64789</v>
      </c>
      <c r="BF54" s="232">
        <f t="shared" si="89"/>
        <v>4634.894850000001</v>
      </c>
      <c r="BG54" s="232"/>
      <c r="BH54" s="232">
        <v>4569.24696</v>
      </c>
      <c r="BI54" s="232"/>
      <c r="BJ54" s="232">
        <v>65.64789</v>
      </c>
      <c r="BK54" s="232">
        <f t="shared" si="90"/>
        <v>6465.34599</v>
      </c>
      <c r="BL54" s="232">
        <f t="shared" si="95"/>
        <v>0</v>
      </c>
      <c r="BM54" s="232">
        <f t="shared" si="96"/>
        <v>5551.64727</v>
      </c>
      <c r="BN54" s="232">
        <f t="shared" si="97"/>
        <v>0</v>
      </c>
      <c r="BO54" s="232">
        <f t="shared" si="98"/>
        <v>913.6987199999999</v>
      </c>
      <c r="BP54" s="316">
        <f t="shared" si="91"/>
        <v>0</v>
      </c>
      <c r="BQ54" s="317">
        <f t="shared" si="99"/>
        <v>0</v>
      </c>
      <c r="BR54" s="317">
        <f t="shared" si="100"/>
        <v>0</v>
      </c>
      <c r="BS54" s="317">
        <f t="shared" si="101"/>
        <v>0</v>
      </c>
      <c r="BT54" s="317">
        <f t="shared" si="102"/>
        <v>0</v>
      </c>
      <c r="BU54" s="229">
        <v>1</v>
      </c>
      <c r="BV54" s="305"/>
      <c r="BW54" s="331" t="s">
        <v>228</v>
      </c>
      <c r="BY54" s="232"/>
      <c r="BZ54" s="232">
        <v>1</v>
      </c>
      <c r="CA54" s="317"/>
      <c r="CB54" s="232"/>
      <c r="CC54" s="232"/>
    </row>
    <row r="55" spans="1:81" s="229" customFormat="1" ht="14.25" customHeight="1">
      <c r="A55" s="230">
        <v>41</v>
      </c>
      <c r="B55" s="239" t="s">
        <v>92</v>
      </c>
      <c r="C55" s="232">
        <f t="shared" si="76"/>
        <v>460.846</v>
      </c>
      <c r="D55" s="233"/>
      <c r="E55" s="232">
        <f t="shared" si="77"/>
        <v>460.846</v>
      </c>
      <c r="F55" s="233"/>
      <c r="G55" s="232"/>
      <c r="H55" s="232">
        <f t="shared" si="78"/>
        <v>460.846</v>
      </c>
      <c r="I55" s="233"/>
      <c r="J55" s="232">
        <f t="shared" si="79"/>
        <v>460.846</v>
      </c>
      <c r="K55" s="232">
        <f t="shared" si="80"/>
        <v>0</v>
      </c>
      <c r="L55" s="240"/>
      <c r="M55" s="232">
        <f t="shared" si="18"/>
        <v>460.846</v>
      </c>
      <c r="N55" s="232"/>
      <c r="O55" s="232">
        <v>460.846</v>
      </c>
      <c r="P55" s="232"/>
      <c r="Q55" s="232"/>
      <c r="R55" s="234">
        <f t="shared" si="81"/>
        <v>460.846</v>
      </c>
      <c r="S55" s="232"/>
      <c r="T55" s="232">
        <v>460.846</v>
      </c>
      <c r="U55" s="232"/>
      <c r="V55" s="235"/>
      <c r="W55" s="232">
        <f t="shared" si="82"/>
        <v>0</v>
      </c>
      <c r="X55" s="232">
        <f t="shared" si="92"/>
        <v>0</v>
      </c>
      <c r="Y55" s="232">
        <f t="shared" si="92"/>
        <v>0</v>
      </c>
      <c r="Z55" s="232">
        <f t="shared" si="92"/>
        <v>0</v>
      </c>
      <c r="AA55" s="232">
        <f t="shared" si="92"/>
        <v>0</v>
      </c>
      <c r="AB55" s="232">
        <f t="shared" si="83"/>
        <v>460.846</v>
      </c>
      <c r="AC55" s="232"/>
      <c r="AD55" s="232">
        <f t="shared" si="84"/>
        <v>460.846</v>
      </c>
      <c r="AE55" s="232">
        <f t="shared" si="84"/>
        <v>0</v>
      </c>
      <c r="AF55" s="232">
        <f t="shared" si="84"/>
        <v>0</v>
      </c>
      <c r="AG55" s="232">
        <f t="shared" si="85"/>
        <v>0</v>
      </c>
      <c r="AH55" s="232"/>
      <c r="AI55" s="232"/>
      <c r="AJ55" s="232"/>
      <c r="AK55" s="236"/>
      <c r="AL55" s="234">
        <f t="shared" si="86"/>
        <v>460.846</v>
      </c>
      <c r="AM55" s="232"/>
      <c r="AN55" s="232">
        <f t="shared" si="87"/>
        <v>460.846</v>
      </c>
      <c r="AO55" s="232">
        <f t="shared" si="87"/>
        <v>0</v>
      </c>
      <c r="AP55" s="235">
        <f t="shared" si="87"/>
        <v>0</v>
      </c>
      <c r="AQ55" s="232">
        <f t="shared" si="93"/>
        <v>0</v>
      </c>
      <c r="AR55" s="232"/>
      <c r="AS55" s="232"/>
      <c r="AT55" s="232"/>
      <c r="AU55" s="232"/>
      <c r="AV55" s="232">
        <f t="shared" si="88"/>
        <v>0</v>
      </c>
      <c r="AW55" s="232"/>
      <c r="AX55" s="232"/>
      <c r="AY55" s="232"/>
      <c r="AZ55" s="232"/>
      <c r="BA55" s="232">
        <f t="shared" si="94"/>
        <v>0</v>
      </c>
      <c r="BB55" s="232"/>
      <c r="BC55" s="232"/>
      <c r="BD55" s="232"/>
      <c r="BE55" s="232"/>
      <c r="BF55" s="232">
        <f t="shared" si="89"/>
        <v>0</v>
      </c>
      <c r="BG55" s="232"/>
      <c r="BH55" s="232"/>
      <c r="BI55" s="232"/>
      <c r="BJ55" s="232"/>
      <c r="BK55" s="232">
        <f t="shared" si="90"/>
        <v>0</v>
      </c>
      <c r="BL55" s="232">
        <f t="shared" si="95"/>
        <v>0</v>
      </c>
      <c r="BM55" s="232">
        <f t="shared" si="96"/>
        <v>0</v>
      </c>
      <c r="BN55" s="232">
        <f t="shared" si="97"/>
        <v>0</v>
      </c>
      <c r="BO55" s="232">
        <f t="shared" si="98"/>
        <v>0</v>
      </c>
      <c r="BP55" s="316">
        <f t="shared" si="91"/>
        <v>460.846</v>
      </c>
      <c r="BQ55" s="317">
        <f t="shared" si="99"/>
        <v>0</v>
      </c>
      <c r="BR55" s="317">
        <f t="shared" si="100"/>
        <v>460.846</v>
      </c>
      <c r="BS55" s="317">
        <f t="shared" si="101"/>
        <v>0</v>
      </c>
      <c r="BT55" s="317">
        <f t="shared" si="102"/>
        <v>0</v>
      </c>
      <c r="BV55" s="305">
        <v>1</v>
      </c>
      <c r="BW55" s="332" t="s">
        <v>229</v>
      </c>
      <c r="BY55" s="232"/>
      <c r="BZ55" s="232"/>
      <c r="CA55" s="317">
        <v>1</v>
      </c>
      <c r="CB55" s="232"/>
      <c r="CC55" s="232"/>
    </row>
    <row r="56" spans="1:81" s="229" customFormat="1" ht="13.5" customHeight="1">
      <c r="A56" s="230">
        <v>42</v>
      </c>
      <c r="B56" s="239" t="s">
        <v>93</v>
      </c>
      <c r="C56" s="232">
        <f t="shared" si="76"/>
        <v>1043.391</v>
      </c>
      <c r="D56" s="233"/>
      <c r="E56" s="232">
        <f t="shared" si="77"/>
        <v>1043.391</v>
      </c>
      <c r="F56" s="233"/>
      <c r="G56" s="232"/>
      <c r="H56" s="232">
        <f t="shared" si="78"/>
        <v>1070.7931700000001</v>
      </c>
      <c r="I56" s="233"/>
      <c r="J56" s="232">
        <f t="shared" si="79"/>
        <v>1043.391</v>
      </c>
      <c r="K56" s="232">
        <f t="shared" si="80"/>
        <v>27.40217</v>
      </c>
      <c r="L56" s="240"/>
      <c r="M56" s="232">
        <f t="shared" si="18"/>
        <v>1043.391</v>
      </c>
      <c r="N56" s="232"/>
      <c r="O56" s="232">
        <f>1116.171-72.78</f>
        <v>1043.391</v>
      </c>
      <c r="P56" s="232"/>
      <c r="Q56" s="232"/>
      <c r="R56" s="234">
        <f t="shared" si="81"/>
        <v>1043.391</v>
      </c>
      <c r="S56" s="232"/>
      <c r="T56" s="232">
        <v>1043.391</v>
      </c>
      <c r="U56" s="232"/>
      <c r="V56" s="235"/>
      <c r="W56" s="232">
        <f t="shared" si="82"/>
        <v>0</v>
      </c>
      <c r="X56" s="232">
        <f t="shared" si="92"/>
        <v>0</v>
      </c>
      <c r="Y56" s="232">
        <f t="shared" si="92"/>
        <v>0</v>
      </c>
      <c r="Z56" s="232">
        <f t="shared" si="92"/>
        <v>0</v>
      </c>
      <c r="AA56" s="232">
        <f t="shared" si="92"/>
        <v>0</v>
      </c>
      <c r="AB56" s="232">
        <f t="shared" si="83"/>
        <v>1043.391</v>
      </c>
      <c r="AC56" s="232"/>
      <c r="AD56" s="232">
        <f t="shared" si="84"/>
        <v>1043.391</v>
      </c>
      <c r="AE56" s="232">
        <f t="shared" si="84"/>
        <v>0</v>
      </c>
      <c r="AF56" s="232">
        <f t="shared" si="84"/>
        <v>0</v>
      </c>
      <c r="AG56" s="232">
        <f t="shared" si="85"/>
        <v>0</v>
      </c>
      <c r="AH56" s="232"/>
      <c r="AI56" s="232"/>
      <c r="AJ56" s="232"/>
      <c r="AK56" s="236"/>
      <c r="AL56" s="234">
        <f t="shared" si="86"/>
        <v>1043.391</v>
      </c>
      <c r="AM56" s="232"/>
      <c r="AN56" s="232">
        <f t="shared" si="87"/>
        <v>1043.391</v>
      </c>
      <c r="AO56" s="232">
        <f t="shared" si="87"/>
        <v>0</v>
      </c>
      <c r="AP56" s="235">
        <f t="shared" si="87"/>
        <v>0</v>
      </c>
      <c r="AQ56" s="232">
        <f t="shared" si="93"/>
        <v>520.64117</v>
      </c>
      <c r="AR56" s="232"/>
      <c r="AS56" s="232">
        <f>520.64117</f>
        <v>520.64117</v>
      </c>
      <c r="AT56" s="232"/>
      <c r="AU56" s="232"/>
      <c r="AV56" s="232">
        <f t="shared" si="88"/>
        <v>520.64117</v>
      </c>
      <c r="AW56" s="232"/>
      <c r="AX56" s="232">
        <f>520.64117</f>
        <v>520.64117</v>
      </c>
      <c r="AY56" s="232"/>
      <c r="AZ56" s="232"/>
      <c r="BA56" s="232">
        <f t="shared" si="94"/>
        <v>27.40217</v>
      </c>
      <c r="BB56" s="232"/>
      <c r="BC56" s="232">
        <v>27.40217</v>
      </c>
      <c r="BD56" s="232"/>
      <c r="BE56" s="232"/>
      <c r="BF56" s="232">
        <f t="shared" si="89"/>
        <v>27.40217</v>
      </c>
      <c r="BG56" s="232"/>
      <c r="BH56" s="232">
        <v>27.40217</v>
      </c>
      <c r="BI56" s="232"/>
      <c r="BJ56" s="232"/>
      <c r="BK56" s="232">
        <f t="shared" si="90"/>
        <v>548.04334</v>
      </c>
      <c r="BL56" s="232">
        <f t="shared" si="95"/>
        <v>0</v>
      </c>
      <c r="BM56" s="232">
        <f t="shared" si="96"/>
        <v>548.04334</v>
      </c>
      <c r="BN56" s="232">
        <f t="shared" si="97"/>
        <v>0</v>
      </c>
      <c r="BO56" s="232">
        <f t="shared" si="98"/>
        <v>0</v>
      </c>
      <c r="BP56" s="316">
        <f t="shared" si="91"/>
        <v>522.7498300000001</v>
      </c>
      <c r="BQ56" s="317">
        <f t="shared" si="99"/>
        <v>0</v>
      </c>
      <c r="BR56" s="317">
        <f t="shared" si="100"/>
        <v>522.7498300000001</v>
      </c>
      <c r="BS56" s="317">
        <f t="shared" si="101"/>
        <v>0</v>
      </c>
      <c r="BT56" s="317">
        <f t="shared" si="102"/>
        <v>0</v>
      </c>
      <c r="BV56" s="305">
        <v>1</v>
      </c>
      <c r="BW56" s="331" t="s">
        <v>228</v>
      </c>
      <c r="BY56" s="232"/>
      <c r="BZ56" s="232">
        <v>1</v>
      </c>
      <c r="CA56" s="317"/>
      <c r="CB56" s="232"/>
      <c r="CC56" s="232"/>
    </row>
    <row r="57" spans="1:81" s="229" customFormat="1" ht="15" customHeight="1">
      <c r="A57" s="238"/>
      <c r="B57" s="301" t="s">
        <v>3</v>
      </c>
      <c r="C57" s="228">
        <f aca="true" t="shared" si="103" ref="C57:K57">SUM(C59:C70)</f>
        <v>70199.254</v>
      </c>
      <c r="D57" s="228">
        <f t="shared" si="103"/>
        <v>0</v>
      </c>
      <c r="E57" s="228">
        <f t="shared" si="103"/>
        <v>70199.254</v>
      </c>
      <c r="F57" s="228">
        <f t="shared" si="103"/>
        <v>0</v>
      </c>
      <c r="G57" s="228">
        <f t="shared" si="103"/>
        <v>0</v>
      </c>
      <c r="H57" s="228">
        <f t="shared" si="103"/>
        <v>78521.86846</v>
      </c>
      <c r="I57" s="228">
        <f t="shared" si="103"/>
        <v>0</v>
      </c>
      <c r="J57" s="228">
        <f t="shared" si="103"/>
        <v>67170.99511999999</v>
      </c>
      <c r="K57" s="228">
        <f t="shared" si="103"/>
        <v>11350.873339999998</v>
      </c>
      <c r="L57" s="224"/>
      <c r="M57" s="223">
        <f t="shared" si="18"/>
        <v>70199.254</v>
      </c>
      <c r="N57" s="223">
        <f>SUM(N59:N70)</f>
        <v>5000</v>
      </c>
      <c r="O57" s="223">
        <f>SUM(O59:O70)</f>
        <v>45125.868</v>
      </c>
      <c r="P57" s="223">
        <f>SUM(P59:P70)</f>
        <v>7572.6</v>
      </c>
      <c r="Q57" s="223">
        <f>SUM(Q59:Q70)</f>
        <v>12500.786</v>
      </c>
      <c r="R57" s="225">
        <f aca="true" t="shared" si="104" ref="R57:AP57">SUM(R59:R70)</f>
        <v>67540.99511999999</v>
      </c>
      <c r="S57" s="223">
        <f t="shared" si="104"/>
        <v>3610</v>
      </c>
      <c r="T57" s="223">
        <f t="shared" si="104"/>
        <v>45123.367999999995</v>
      </c>
      <c r="U57" s="223">
        <f t="shared" si="104"/>
        <v>7572.6</v>
      </c>
      <c r="V57" s="226">
        <f t="shared" si="104"/>
        <v>11235.027119999999</v>
      </c>
      <c r="W57" s="223">
        <f t="shared" si="104"/>
        <v>2658.2588800000008</v>
      </c>
      <c r="X57" s="223">
        <f t="shared" si="104"/>
        <v>1390</v>
      </c>
      <c r="Y57" s="223">
        <f t="shared" si="104"/>
        <v>2.5</v>
      </c>
      <c r="Z57" s="223">
        <f t="shared" si="104"/>
        <v>0</v>
      </c>
      <c r="AA57" s="223">
        <f t="shared" si="104"/>
        <v>1265.7588800000005</v>
      </c>
      <c r="AB57" s="223">
        <f t="shared" si="104"/>
        <v>63930.99511999999</v>
      </c>
      <c r="AC57" s="223">
        <f t="shared" si="104"/>
        <v>0</v>
      </c>
      <c r="AD57" s="223">
        <f t="shared" si="104"/>
        <v>45123.367999999995</v>
      </c>
      <c r="AE57" s="223">
        <f t="shared" si="104"/>
        <v>7572.6</v>
      </c>
      <c r="AF57" s="223">
        <f t="shared" si="104"/>
        <v>11235.027119999999</v>
      </c>
      <c r="AG57" s="223">
        <f t="shared" si="104"/>
        <v>1128.126</v>
      </c>
      <c r="AH57" s="223">
        <f t="shared" si="104"/>
        <v>0</v>
      </c>
      <c r="AI57" s="223">
        <f t="shared" si="104"/>
        <v>0</v>
      </c>
      <c r="AJ57" s="223">
        <f t="shared" si="104"/>
        <v>0</v>
      </c>
      <c r="AK57" s="227">
        <f t="shared" si="104"/>
        <v>1128.126</v>
      </c>
      <c r="AL57" s="225">
        <f t="shared" si="104"/>
        <v>67170.99511999999</v>
      </c>
      <c r="AM57" s="223">
        <f t="shared" si="104"/>
        <v>3240</v>
      </c>
      <c r="AN57" s="223">
        <f t="shared" si="104"/>
        <v>45123.367999999995</v>
      </c>
      <c r="AO57" s="223">
        <f t="shared" si="104"/>
        <v>7572.6</v>
      </c>
      <c r="AP57" s="226">
        <f t="shared" si="104"/>
        <v>11235.027119999999</v>
      </c>
      <c r="AQ57" s="223">
        <f aca="true" t="shared" si="105" ref="AQ57:BE57">SUM(AQ59:AQ70)</f>
        <v>50152.17821</v>
      </c>
      <c r="AR57" s="223">
        <f t="shared" si="105"/>
        <v>3240</v>
      </c>
      <c r="AS57" s="223">
        <f t="shared" si="105"/>
        <v>34452.61788</v>
      </c>
      <c r="AT57" s="223">
        <f t="shared" si="105"/>
        <v>5190</v>
      </c>
      <c r="AU57" s="223">
        <f t="shared" si="105"/>
        <v>7269.560329999999</v>
      </c>
      <c r="AV57" s="223">
        <f t="shared" si="105"/>
        <v>50152.17821</v>
      </c>
      <c r="AW57" s="223">
        <f t="shared" si="105"/>
        <v>3240</v>
      </c>
      <c r="AX57" s="223">
        <f t="shared" si="105"/>
        <v>34452.61788</v>
      </c>
      <c r="AY57" s="223">
        <f t="shared" si="105"/>
        <v>5190</v>
      </c>
      <c r="AZ57" s="223">
        <f t="shared" si="105"/>
        <v>7269.560329999999</v>
      </c>
      <c r="BA57" s="223">
        <f t="shared" si="105"/>
        <v>11350.873339999998</v>
      </c>
      <c r="BB57" s="223">
        <f t="shared" si="105"/>
        <v>190</v>
      </c>
      <c r="BC57" s="223">
        <f t="shared" si="105"/>
        <v>8600.75651</v>
      </c>
      <c r="BD57" s="223">
        <f t="shared" si="105"/>
        <v>278.64579</v>
      </c>
      <c r="BE57" s="223">
        <f t="shared" si="105"/>
        <v>2281.47104</v>
      </c>
      <c r="BF57" s="223">
        <f aca="true" t="shared" si="106" ref="BF57:BT57">SUM(BF59:BF70)</f>
        <v>11350.873339999998</v>
      </c>
      <c r="BG57" s="223">
        <f t="shared" si="106"/>
        <v>190</v>
      </c>
      <c r="BH57" s="223">
        <f t="shared" si="106"/>
        <v>8600.75651</v>
      </c>
      <c r="BI57" s="223">
        <f t="shared" si="106"/>
        <v>278.64579</v>
      </c>
      <c r="BJ57" s="223">
        <f t="shared" si="106"/>
        <v>2281.47104</v>
      </c>
      <c r="BK57" s="223">
        <f t="shared" si="106"/>
        <v>61503.051550000004</v>
      </c>
      <c r="BL57" s="223">
        <f t="shared" si="106"/>
        <v>3430</v>
      </c>
      <c r="BM57" s="223">
        <f t="shared" si="106"/>
        <v>43053.374390000004</v>
      </c>
      <c r="BN57" s="223">
        <f t="shared" si="106"/>
        <v>5468.64579</v>
      </c>
      <c r="BO57" s="223">
        <f t="shared" si="106"/>
        <v>9551.03137</v>
      </c>
      <c r="BP57" s="314">
        <f t="shared" si="106"/>
        <v>17018.816909999998</v>
      </c>
      <c r="BQ57" s="315">
        <f t="shared" si="106"/>
        <v>0</v>
      </c>
      <c r="BR57" s="315">
        <f t="shared" si="106"/>
        <v>10670.75012</v>
      </c>
      <c r="BS57" s="315">
        <f t="shared" si="106"/>
        <v>2382.6000000000004</v>
      </c>
      <c r="BT57" s="315">
        <f t="shared" si="106"/>
        <v>3965.4667899999995</v>
      </c>
      <c r="BV57" s="305"/>
      <c r="BW57" s="349" t="s">
        <v>280</v>
      </c>
      <c r="BY57" s="223">
        <f>SUM(BY59:BY70)</f>
        <v>0</v>
      </c>
      <c r="BZ57" s="223">
        <f>SUM(BZ59:BZ70)</f>
        <v>5</v>
      </c>
      <c r="CA57" s="315">
        <f>SUM(CA59:CA70)</f>
        <v>6</v>
      </c>
      <c r="CB57" s="223">
        <f>SUM(CB59:CB70)</f>
        <v>0</v>
      </c>
      <c r="CC57" s="223">
        <f>SUM(CC59:CC70)</f>
        <v>0</v>
      </c>
    </row>
    <row r="58" spans="1:81" s="229" customFormat="1" ht="15" customHeight="1" hidden="1">
      <c r="A58" s="238"/>
      <c r="B58" s="222"/>
      <c r="C58" s="223"/>
      <c r="D58" s="224"/>
      <c r="E58" s="223"/>
      <c r="F58" s="224"/>
      <c r="G58" s="224"/>
      <c r="H58" s="223"/>
      <c r="I58" s="224"/>
      <c r="J58" s="223"/>
      <c r="K58" s="223"/>
      <c r="L58" s="224"/>
      <c r="M58" s="223"/>
      <c r="N58" s="223"/>
      <c r="O58" s="223"/>
      <c r="P58" s="223"/>
      <c r="Q58" s="223"/>
      <c r="R58" s="225"/>
      <c r="S58" s="223"/>
      <c r="T58" s="223"/>
      <c r="U58" s="223"/>
      <c r="V58" s="226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7"/>
      <c r="AL58" s="225"/>
      <c r="AM58" s="223"/>
      <c r="AN58" s="223"/>
      <c r="AO58" s="223"/>
      <c r="AP58" s="226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314"/>
      <c r="BQ58" s="315"/>
      <c r="BR58" s="315"/>
      <c r="BS58" s="315"/>
      <c r="BT58" s="315"/>
      <c r="BV58" s="305"/>
      <c r="BW58" s="330"/>
      <c r="BY58" s="223"/>
      <c r="BZ58" s="223"/>
      <c r="CA58" s="315"/>
      <c r="CB58" s="223"/>
      <c r="CC58" s="223"/>
    </row>
    <row r="59" spans="1:81" s="229" customFormat="1" ht="14.25" customHeight="1">
      <c r="A59" s="230">
        <v>43</v>
      </c>
      <c r="B59" s="239" t="s">
        <v>94</v>
      </c>
      <c r="C59" s="232">
        <f aca="true" t="shared" si="107" ref="C59:C70">E59+D59+F59</f>
        <v>5898.599</v>
      </c>
      <c r="D59" s="233"/>
      <c r="E59" s="232">
        <f aca="true" t="shared" si="108" ref="E59:E70">M59</f>
        <v>5898.599</v>
      </c>
      <c r="F59" s="233"/>
      <c r="G59" s="232"/>
      <c r="H59" s="232">
        <f aca="true" t="shared" si="109" ref="H59:H70">I59+J59+K59</f>
        <v>5898.599</v>
      </c>
      <c r="I59" s="233"/>
      <c r="J59" s="232">
        <f aca="true" t="shared" si="110" ref="J59:J70">AL59</f>
        <v>5898.599</v>
      </c>
      <c r="K59" s="232">
        <f aca="true" t="shared" si="111" ref="K59:K70">BF59</f>
        <v>0</v>
      </c>
      <c r="L59" s="240"/>
      <c r="M59" s="232">
        <f t="shared" si="18"/>
        <v>5898.599</v>
      </c>
      <c r="N59" s="232"/>
      <c r="O59" s="232">
        <v>5898.599</v>
      </c>
      <c r="P59" s="232"/>
      <c r="Q59" s="232"/>
      <c r="R59" s="234">
        <f aca="true" t="shared" si="112" ref="R59:R70">S59+T59+U59+V59</f>
        <v>5898.599</v>
      </c>
      <c r="S59" s="232"/>
      <c r="T59" s="232">
        <v>5898.599</v>
      </c>
      <c r="U59" s="232"/>
      <c r="V59" s="235"/>
      <c r="W59" s="232">
        <f aca="true" t="shared" si="113" ref="W59:W70">X59+Y59+Z59+AA59</f>
        <v>0</v>
      </c>
      <c r="X59" s="232">
        <f aca="true" t="shared" si="114" ref="X59:AA70">N59-S59</f>
        <v>0</v>
      </c>
      <c r="Y59" s="232">
        <f t="shared" si="114"/>
        <v>0</v>
      </c>
      <c r="Z59" s="232">
        <f t="shared" si="114"/>
        <v>0</v>
      </c>
      <c r="AA59" s="232">
        <f t="shared" si="114"/>
        <v>0</v>
      </c>
      <c r="AB59" s="232">
        <f aca="true" t="shared" si="115" ref="AB59:AB70">AC59+AD59+AE59+AF59</f>
        <v>5898.599</v>
      </c>
      <c r="AC59" s="232"/>
      <c r="AD59" s="232">
        <f aca="true" t="shared" si="116" ref="AD59:AF70">T59</f>
        <v>5898.599</v>
      </c>
      <c r="AE59" s="232">
        <f t="shared" si="116"/>
        <v>0</v>
      </c>
      <c r="AF59" s="232">
        <f t="shared" si="116"/>
        <v>0</v>
      </c>
      <c r="AG59" s="232">
        <f aca="true" t="shared" si="117" ref="AG59:AG70">AH59+AI59+AJ59+AK59</f>
        <v>0</v>
      </c>
      <c r="AH59" s="232"/>
      <c r="AI59" s="232"/>
      <c r="AJ59" s="232"/>
      <c r="AK59" s="236"/>
      <c r="AL59" s="234">
        <f aca="true" t="shared" si="118" ref="AL59:AL70">AM59+AN59+AO59+AP59</f>
        <v>5898.599</v>
      </c>
      <c r="AM59" s="232"/>
      <c r="AN59" s="232">
        <f aca="true" t="shared" si="119" ref="AN59:AP70">AD59</f>
        <v>5898.599</v>
      </c>
      <c r="AO59" s="232">
        <f t="shared" si="119"/>
        <v>0</v>
      </c>
      <c r="AP59" s="235">
        <f t="shared" si="119"/>
        <v>0</v>
      </c>
      <c r="AQ59" s="232">
        <f aca="true" t="shared" si="120" ref="AQ59:AQ70">AR59+AS59+AT59+AU59</f>
        <v>0</v>
      </c>
      <c r="AR59" s="232"/>
      <c r="AS59" s="232"/>
      <c r="AT59" s="232"/>
      <c r="AU59" s="232"/>
      <c r="AV59" s="232">
        <f aca="true" t="shared" si="121" ref="AV59:AV70">AW59+AX59+AY59+AZ59</f>
        <v>0</v>
      </c>
      <c r="AW59" s="232"/>
      <c r="AX59" s="232"/>
      <c r="AY59" s="232"/>
      <c r="AZ59" s="232"/>
      <c r="BA59" s="232">
        <f aca="true" t="shared" si="122" ref="BA59:BA70">BB59+BC59+BD59+BE59</f>
        <v>0</v>
      </c>
      <c r="BB59" s="232"/>
      <c r="BC59" s="232"/>
      <c r="BD59" s="232"/>
      <c r="BE59" s="232"/>
      <c r="BF59" s="232">
        <f aca="true" t="shared" si="123" ref="BF59:BF70">BG59+BH59+BI59+BJ59</f>
        <v>0</v>
      </c>
      <c r="BG59" s="232"/>
      <c r="BH59" s="232"/>
      <c r="BI59" s="232"/>
      <c r="BJ59" s="232"/>
      <c r="BK59" s="232">
        <f aca="true" t="shared" si="124" ref="BK59:BK70">BL59+BM59+BN59+BO59</f>
        <v>0</v>
      </c>
      <c r="BL59" s="232">
        <f aca="true" t="shared" si="125" ref="BL59:BL70">AW59+BG59</f>
        <v>0</v>
      </c>
      <c r="BM59" s="232">
        <f aca="true" t="shared" si="126" ref="BM59:BM70">AX59+BH59</f>
        <v>0</v>
      </c>
      <c r="BN59" s="232">
        <f aca="true" t="shared" si="127" ref="BN59:BN70">AY59+BI59</f>
        <v>0</v>
      </c>
      <c r="BO59" s="232">
        <f aca="true" t="shared" si="128" ref="BO59:BO70">AZ59+BJ59</f>
        <v>0</v>
      </c>
      <c r="BP59" s="316">
        <f aca="true" t="shared" si="129" ref="BP59:BP70">BQ59+BR59+BS59+BT59</f>
        <v>5898.599</v>
      </c>
      <c r="BQ59" s="317">
        <f aca="true" t="shared" si="130" ref="BQ59:BQ70">AM59-AW59</f>
        <v>0</v>
      </c>
      <c r="BR59" s="317">
        <f aca="true" t="shared" si="131" ref="BR59:BR70">AN59-AX59</f>
        <v>5898.599</v>
      </c>
      <c r="BS59" s="317">
        <f aca="true" t="shared" si="132" ref="BS59:BS70">AO59-AY59</f>
        <v>0</v>
      </c>
      <c r="BT59" s="317">
        <f aca="true" t="shared" si="133" ref="BT59:BT70">AP59-AZ59</f>
        <v>0</v>
      </c>
      <c r="BV59" s="305">
        <v>1</v>
      </c>
      <c r="BW59" s="332" t="s">
        <v>229</v>
      </c>
      <c r="BY59" s="232"/>
      <c r="BZ59" s="232"/>
      <c r="CA59" s="317">
        <v>1</v>
      </c>
      <c r="CB59" s="232"/>
      <c r="CC59" s="232"/>
    </row>
    <row r="60" spans="1:81" s="229" customFormat="1" ht="14.25" customHeight="1" hidden="1">
      <c r="A60" s="230"/>
      <c r="B60" s="239" t="s">
        <v>95</v>
      </c>
      <c r="C60" s="232">
        <f t="shared" si="107"/>
        <v>0</v>
      </c>
      <c r="D60" s="233"/>
      <c r="E60" s="232">
        <f t="shared" si="108"/>
        <v>0</v>
      </c>
      <c r="F60" s="233"/>
      <c r="G60" s="232"/>
      <c r="H60" s="232">
        <f t="shared" si="109"/>
        <v>0</v>
      </c>
      <c r="I60" s="233"/>
      <c r="J60" s="232">
        <f t="shared" si="110"/>
        <v>0</v>
      </c>
      <c r="K60" s="232">
        <f t="shared" si="111"/>
        <v>0</v>
      </c>
      <c r="L60" s="240"/>
      <c r="M60" s="232"/>
      <c r="N60" s="232"/>
      <c r="O60" s="232"/>
      <c r="P60" s="232"/>
      <c r="Q60" s="232"/>
      <c r="R60" s="234">
        <f t="shared" si="112"/>
        <v>0</v>
      </c>
      <c r="S60" s="232"/>
      <c r="T60" s="232"/>
      <c r="U60" s="232"/>
      <c r="V60" s="235"/>
      <c r="W60" s="232">
        <f t="shared" si="113"/>
        <v>0</v>
      </c>
      <c r="X60" s="232">
        <f t="shared" si="114"/>
        <v>0</v>
      </c>
      <c r="Y60" s="232">
        <f t="shared" si="114"/>
        <v>0</v>
      </c>
      <c r="Z60" s="232">
        <f t="shared" si="114"/>
        <v>0</v>
      </c>
      <c r="AA60" s="232">
        <f t="shared" si="114"/>
        <v>0</v>
      </c>
      <c r="AB60" s="232">
        <f t="shared" si="115"/>
        <v>0</v>
      </c>
      <c r="AC60" s="232"/>
      <c r="AD60" s="232">
        <f t="shared" si="116"/>
        <v>0</v>
      </c>
      <c r="AE60" s="232">
        <f t="shared" si="116"/>
        <v>0</v>
      </c>
      <c r="AF60" s="232">
        <f t="shared" si="116"/>
        <v>0</v>
      </c>
      <c r="AG60" s="232">
        <f t="shared" si="117"/>
        <v>0</v>
      </c>
      <c r="AH60" s="232"/>
      <c r="AI60" s="232"/>
      <c r="AJ60" s="232"/>
      <c r="AK60" s="236"/>
      <c r="AL60" s="234">
        <f t="shared" si="118"/>
        <v>0</v>
      </c>
      <c r="AM60" s="232"/>
      <c r="AN60" s="232">
        <f t="shared" si="119"/>
        <v>0</v>
      </c>
      <c r="AO60" s="232">
        <f t="shared" si="119"/>
        <v>0</v>
      </c>
      <c r="AP60" s="235">
        <f t="shared" si="119"/>
        <v>0</v>
      </c>
      <c r="AQ60" s="232">
        <f t="shared" si="120"/>
        <v>0</v>
      </c>
      <c r="AR60" s="232"/>
      <c r="AS60" s="232"/>
      <c r="AT60" s="232"/>
      <c r="AU60" s="232"/>
      <c r="AV60" s="232">
        <f t="shared" si="121"/>
        <v>0</v>
      </c>
      <c r="AW60" s="232"/>
      <c r="AX60" s="232"/>
      <c r="AY60" s="232"/>
      <c r="AZ60" s="232"/>
      <c r="BA60" s="232">
        <f t="shared" si="122"/>
        <v>0</v>
      </c>
      <c r="BB60" s="232"/>
      <c r="BC60" s="232"/>
      <c r="BD60" s="232"/>
      <c r="BE60" s="232"/>
      <c r="BF60" s="232">
        <f t="shared" si="123"/>
        <v>0</v>
      </c>
      <c r="BG60" s="232"/>
      <c r="BH60" s="232"/>
      <c r="BI60" s="232"/>
      <c r="BJ60" s="232"/>
      <c r="BK60" s="232">
        <f t="shared" si="124"/>
        <v>0</v>
      </c>
      <c r="BL60" s="232">
        <f t="shared" si="125"/>
        <v>0</v>
      </c>
      <c r="BM60" s="232">
        <f t="shared" si="126"/>
        <v>0</v>
      </c>
      <c r="BN60" s="232">
        <f t="shared" si="127"/>
        <v>0</v>
      </c>
      <c r="BO60" s="232">
        <f t="shared" si="128"/>
        <v>0</v>
      </c>
      <c r="BP60" s="316">
        <f t="shared" si="129"/>
        <v>0</v>
      </c>
      <c r="BQ60" s="317">
        <f t="shared" si="130"/>
        <v>0</v>
      </c>
      <c r="BR60" s="317">
        <f t="shared" si="131"/>
        <v>0</v>
      </c>
      <c r="BS60" s="317">
        <f t="shared" si="132"/>
        <v>0</v>
      </c>
      <c r="BT60" s="317">
        <f t="shared" si="133"/>
        <v>0</v>
      </c>
      <c r="BV60" s="305"/>
      <c r="BW60" s="332"/>
      <c r="BY60" s="232"/>
      <c r="BZ60" s="232"/>
      <c r="CA60" s="317"/>
      <c r="CB60" s="232"/>
      <c r="CC60" s="232"/>
    </row>
    <row r="61" spans="1:81" s="229" customFormat="1" ht="14.25" customHeight="1">
      <c r="A61" s="230">
        <v>44</v>
      </c>
      <c r="B61" s="239" t="s">
        <v>96</v>
      </c>
      <c r="C61" s="232">
        <f t="shared" si="107"/>
        <v>4275.0779999999995</v>
      </c>
      <c r="D61" s="233"/>
      <c r="E61" s="232">
        <f t="shared" si="108"/>
        <v>4275.0779999999995</v>
      </c>
      <c r="F61" s="233"/>
      <c r="G61" s="232"/>
      <c r="H61" s="232">
        <f t="shared" si="109"/>
        <v>7205.808869999999</v>
      </c>
      <c r="I61" s="233"/>
      <c r="J61" s="232">
        <f t="shared" si="110"/>
        <v>4275.0779999999995</v>
      </c>
      <c r="K61" s="232">
        <f t="shared" si="111"/>
        <v>2930.73087</v>
      </c>
      <c r="L61" s="240"/>
      <c r="M61" s="232">
        <f t="shared" si="18"/>
        <v>4275.0779999999995</v>
      </c>
      <c r="N61" s="232"/>
      <c r="O61" s="232">
        <v>2289.071</v>
      </c>
      <c r="P61" s="232"/>
      <c r="Q61" s="232">
        <v>1986.007</v>
      </c>
      <c r="R61" s="234">
        <f t="shared" si="112"/>
        <v>4275.0779999999995</v>
      </c>
      <c r="S61" s="232"/>
      <c r="T61" s="232">
        <v>2289.071</v>
      </c>
      <c r="U61" s="232"/>
      <c r="V61" s="235">
        <v>1986.007</v>
      </c>
      <c r="W61" s="232">
        <f t="shared" si="113"/>
        <v>0</v>
      </c>
      <c r="X61" s="232">
        <f t="shared" si="114"/>
        <v>0</v>
      </c>
      <c r="Y61" s="232">
        <f t="shared" si="114"/>
        <v>0</v>
      </c>
      <c r="Z61" s="232">
        <f t="shared" si="114"/>
        <v>0</v>
      </c>
      <c r="AA61" s="232">
        <f t="shared" si="114"/>
        <v>0</v>
      </c>
      <c r="AB61" s="232">
        <f t="shared" si="115"/>
        <v>4275.0779999999995</v>
      </c>
      <c r="AC61" s="232"/>
      <c r="AD61" s="232">
        <f t="shared" si="116"/>
        <v>2289.071</v>
      </c>
      <c r="AE61" s="232">
        <f t="shared" si="116"/>
        <v>0</v>
      </c>
      <c r="AF61" s="232">
        <f t="shared" si="116"/>
        <v>1986.007</v>
      </c>
      <c r="AG61" s="232">
        <f t="shared" si="117"/>
        <v>0</v>
      </c>
      <c r="AH61" s="232"/>
      <c r="AI61" s="232"/>
      <c r="AJ61" s="232"/>
      <c r="AK61" s="236"/>
      <c r="AL61" s="234">
        <f t="shared" si="118"/>
        <v>4275.0779999999995</v>
      </c>
      <c r="AM61" s="232"/>
      <c r="AN61" s="232">
        <f t="shared" si="119"/>
        <v>2289.071</v>
      </c>
      <c r="AO61" s="232">
        <f t="shared" si="119"/>
        <v>0</v>
      </c>
      <c r="AP61" s="235">
        <f t="shared" si="119"/>
        <v>1986.007</v>
      </c>
      <c r="AQ61" s="232">
        <f t="shared" si="120"/>
        <v>4275.0779999999995</v>
      </c>
      <c r="AR61" s="232"/>
      <c r="AS61" s="232">
        <f>1590.904+698.167</f>
        <v>2289.071</v>
      </c>
      <c r="AT61" s="232"/>
      <c r="AU61" s="232">
        <v>1986.007</v>
      </c>
      <c r="AV61" s="232">
        <f t="shared" si="121"/>
        <v>4275.0779999999995</v>
      </c>
      <c r="AW61" s="232"/>
      <c r="AX61" s="232">
        <f>1590.904+698.167</f>
        <v>2289.071</v>
      </c>
      <c r="AY61" s="232"/>
      <c r="AZ61" s="232">
        <v>1986.007</v>
      </c>
      <c r="BA61" s="232">
        <f t="shared" si="122"/>
        <v>2930.73087</v>
      </c>
      <c r="BB61" s="232"/>
      <c r="BC61" s="232">
        <v>927.34313</v>
      </c>
      <c r="BD61" s="232"/>
      <c r="BE61" s="232">
        <v>2003.38774</v>
      </c>
      <c r="BF61" s="232">
        <f t="shared" si="123"/>
        <v>2930.73087</v>
      </c>
      <c r="BG61" s="232"/>
      <c r="BH61" s="232">
        <v>927.34313</v>
      </c>
      <c r="BI61" s="232"/>
      <c r="BJ61" s="232">
        <v>2003.38774</v>
      </c>
      <c r="BK61" s="232">
        <f t="shared" si="124"/>
        <v>7205.80887</v>
      </c>
      <c r="BL61" s="232">
        <f t="shared" si="125"/>
        <v>0</v>
      </c>
      <c r="BM61" s="232">
        <f t="shared" si="126"/>
        <v>3216.41413</v>
      </c>
      <c r="BN61" s="232">
        <f t="shared" si="127"/>
        <v>0</v>
      </c>
      <c r="BO61" s="232">
        <f t="shared" si="128"/>
        <v>3989.3947399999997</v>
      </c>
      <c r="BP61" s="316">
        <f t="shared" si="129"/>
        <v>0</v>
      </c>
      <c r="BQ61" s="317">
        <f t="shared" si="130"/>
        <v>0</v>
      </c>
      <c r="BR61" s="317">
        <f t="shared" si="131"/>
        <v>0</v>
      </c>
      <c r="BS61" s="317">
        <f t="shared" si="132"/>
        <v>0</v>
      </c>
      <c r="BT61" s="317">
        <f t="shared" si="133"/>
        <v>0</v>
      </c>
      <c r="BU61" s="229">
        <v>1</v>
      </c>
      <c r="BV61" s="305"/>
      <c r="BW61" s="331" t="s">
        <v>228</v>
      </c>
      <c r="BY61" s="232"/>
      <c r="BZ61" s="232">
        <v>1</v>
      </c>
      <c r="CA61" s="317"/>
      <c r="CB61" s="232"/>
      <c r="CC61" s="232"/>
    </row>
    <row r="62" spans="1:81" s="229" customFormat="1" ht="14.25" customHeight="1">
      <c r="A62" s="230">
        <v>45</v>
      </c>
      <c r="B62" s="239" t="s">
        <v>97</v>
      </c>
      <c r="C62" s="232">
        <f t="shared" si="107"/>
        <v>11489.232</v>
      </c>
      <c r="D62" s="233"/>
      <c r="E62" s="232">
        <f t="shared" si="108"/>
        <v>11489.232</v>
      </c>
      <c r="F62" s="233"/>
      <c r="G62" s="232"/>
      <c r="H62" s="232">
        <f t="shared" si="109"/>
        <v>12002.90599</v>
      </c>
      <c r="I62" s="233"/>
      <c r="J62" s="232">
        <f t="shared" si="110"/>
        <v>11480.77926</v>
      </c>
      <c r="K62" s="232">
        <f t="shared" si="111"/>
        <v>522.1267300000001</v>
      </c>
      <c r="L62" s="240"/>
      <c r="M62" s="232">
        <f t="shared" si="18"/>
        <v>11489.232</v>
      </c>
      <c r="N62" s="232"/>
      <c r="O62" s="232">
        <f>6215.282-118.451</f>
        <v>6096.831</v>
      </c>
      <c r="P62" s="232"/>
      <c r="Q62" s="232">
        <v>5392.401</v>
      </c>
      <c r="R62" s="234">
        <f t="shared" si="112"/>
        <v>11480.77926</v>
      </c>
      <c r="S62" s="232"/>
      <c r="T62" s="232">
        <v>6096.831</v>
      </c>
      <c r="U62" s="232"/>
      <c r="V62" s="235">
        <f>5088.784+295.16426</f>
        <v>5383.948259999999</v>
      </c>
      <c r="W62" s="232">
        <f t="shared" si="113"/>
        <v>8.452740000000631</v>
      </c>
      <c r="X62" s="232">
        <f t="shared" si="114"/>
        <v>0</v>
      </c>
      <c r="Y62" s="232">
        <f t="shared" si="114"/>
        <v>0</v>
      </c>
      <c r="Z62" s="232">
        <f t="shared" si="114"/>
        <v>0</v>
      </c>
      <c r="AA62" s="232">
        <f t="shared" si="114"/>
        <v>8.452740000000631</v>
      </c>
      <c r="AB62" s="232">
        <f t="shared" si="115"/>
        <v>11480.77926</v>
      </c>
      <c r="AC62" s="232"/>
      <c r="AD62" s="232">
        <f t="shared" si="116"/>
        <v>6096.831</v>
      </c>
      <c r="AE62" s="232">
        <f t="shared" si="116"/>
        <v>0</v>
      </c>
      <c r="AF62" s="232">
        <f t="shared" si="116"/>
        <v>5383.948259999999</v>
      </c>
      <c r="AG62" s="232">
        <f t="shared" si="117"/>
        <v>0</v>
      </c>
      <c r="AH62" s="232"/>
      <c r="AI62" s="232"/>
      <c r="AJ62" s="232"/>
      <c r="AK62" s="236"/>
      <c r="AL62" s="234">
        <f t="shared" si="118"/>
        <v>11480.77926</v>
      </c>
      <c r="AM62" s="232"/>
      <c r="AN62" s="232">
        <f t="shared" si="119"/>
        <v>6096.831</v>
      </c>
      <c r="AO62" s="232">
        <f t="shared" si="119"/>
        <v>0</v>
      </c>
      <c r="AP62" s="235">
        <f t="shared" si="119"/>
        <v>5383.948259999999</v>
      </c>
      <c r="AQ62" s="232">
        <f t="shared" si="120"/>
        <v>9920.33326</v>
      </c>
      <c r="AR62" s="232"/>
      <c r="AS62" s="232">
        <f>3780.035+1830.739+485.814</f>
        <v>6096.588</v>
      </c>
      <c r="AT62" s="232"/>
      <c r="AU62" s="232">
        <f>1142.628+1323.88461+792.521+564.71165</f>
        <v>3823.7452599999997</v>
      </c>
      <c r="AV62" s="232">
        <f t="shared" si="121"/>
        <v>9920.33326</v>
      </c>
      <c r="AW62" s="232"/>
      <c r="AX62" s="232">
        <f>3780.035+1830.739+485.814</f>
        <v>6096.588</v>
      </c>
      <c r="AY62" s="232"/>
      <c r="AZ62" s="232">
        <f>1142.628+1323.88461+792.521+564.71165</f>
        <v>3823.7452599999997</v>
      </c>
      <c r="BA62" s="232">
        <f t="shared" si="122"/>
        <v>522.1267300000001</v>
      </c>
      <c r="BB62" s="232"/>
      <c r="BC62" s="232">
        <v>320.87544</v>
      </c>
      <c r="BD62" s="232"/>
      <c r="BE62" s="232">
        <v>201.25129</v>
      </c>
      <c r="BF62" s="232">
        <f t="shared" si="123"/>
        <v>522.1267300000001</v>
      </c>
      <c r="BG62" s="232"/>
      <c r="BH62" s="232">
        <v>320.87544</v>
      </c>
      <c r="BI62" s="232"/>
      <c r="BJ62" s="232">
        <v>201.25129</v>
      </c>
      <c r="BK62" s="232">
        <f t="shared" si="124"/>
        <v>10442.45999</v>
      </c>
      <c r="BL62" s="232">
        <f t="shared" si="125"/>
        <v>0</v>
      </c>
      <c r="BM62" s="232">
        <f t="shared" si="126"/>
        <v>6417.4634399999995</v>
      </c>
      <c r="BN62" s="232">
        <f t="shared" si="127"/>
        <v>0</v>
      </c>
      <c r="BO62" s="232">
        <f t="shared" si="128"/>
        <v>4024.99655</v>
      </c>
      <c r="BP62" s="316">
        <f t="shared" si="129"/>
        <v>1560.446</v>
      </c>
      <c r="BQ62" s="317">
        <f t="shared" si="130"/>
        <v>0</v>
      </c>
      <c r="BR62" s="317">
        <f t="shared" si="131"/>
        <v>0.2430000000003929</v>
      </c>
      <c r="BS62" s="317">
        <f t="shared" si="132"/>
        <v>0</v>
      </c>
      <c r="BT62" s="317">
        <f t="shared" si="133"/>
        <v>1560.2029999999995</v>
      </c>
      <c r="BV62" s="305">
        <v>1</v>
      </c>
      <c r="BW62" s="332" t="s">
        <v>229</v>
      </c>
      <c r="BY62" s="232"/>
      <c r="BZ62" s="232"/>
      <c r="CA62" s="317">
        <v>1</v>
      </c>
      <c r="CB62" s="232"/>
      <c r="CC62" s="232"/>
    </row>
    <row r="63" spans="1:81" s="229" customFormat="1" ht="14.25" customHeight="1">
      <c r="A63" s="230">
        <v>46</v>
      </c>
      <c r="B63" s="239" t="s">
        <v>98</v>
      </c>
      <c r="C63" s="232">
        <f t="shared" si="107"/>
        <v>3308.972</v>
      </c>
      <c r="D63" s="233"/>
      <c r="E63" s="232">
        <f t="shared" si="108"/>
        <v>3308.972</v>
      </c>
      <c r="F63" s="233"/>
      <c r="G63" s="232"/>
      <c r="H63" s="232">
        <f t="shared" si="109"/>
        <v>4364.39</v>
      </c>
      <c r="I63" s="233"/>
      <c r="J63" s="232">
        <f t="shared" si="110"/>
        <v>3308.972</v>
      </c>
      <c r="K63" s="232">
        <f t="shared" si="111"/>
        <v>1055.418</v>
      </c>
      <c r="L63" s="240"/>
      <c r="M63" s="232">
        <f t="shared" si="18"/>
        <v>3308.972</v>
      </c>
      <c r="N63" s="232"/>
      <c r="O63" s="232">
        <v>3308.972</v>
      </c>
      <c r="P63" s="232"/>
      <c r="Q63" s="232"/>
      <c r="R63" s="234">
        <f t="shared" si="112"/>
        <v>3308.972</v>
      </c>
      <c r="S63" s="232"/>
      <c r="T63" s="232">
        <v>3308.972</v>
      </c>
      <c r="U63" s="232"/>
      <c r="V63" s="235"/>
      <c r="W63" s="232">
        <f t="shared" si="113"/>
        <v>0</v>
      </c>
      <c r="X63" s="232">
        <f t="shared" si="114"/>
        <v>0</v>
      </c>
      <c r="Y63" s="232">
        <f t="shared" si="114"/>
        <v>0</v>
      </c>
      <c r="Z63" s="232">
        <f t="shared" si="114"/>
        <v>0</v>
      </c>
      <c r="AA63" s="232">
        <f t="shared" si="114"/>
        <v>0</v>
      </c>
      <c r="AB63" s="232">
        <f t="shared" si="115"/>
        <v>3308.972</v>
      </c>
      <c r="AC63" s="232"/>
      <c r="AD63" s="232">
        <f t="shared" si="116"/>
        <v>3308.972</v>
      </c>
      <c r="AE63" s="232">
        <f t="shared" si="116"/>
        <v>0</v>
      </c>
      <c r="AF63" s="232">
        <f t="shared" si="116"/>
        <v>0</v>
      </c>
      <c r="AG63" s="232">
        <f t="shared" si="117"/>
        <v>0</v>
      </c>
      <c r="AH63" s="232"/>
      <c r="AI63" s="232"/>
      <c r="AJ63" s="232"/>
      <c r="AK63" s="236"/>
      <c r="AL63" s="234">
        <f t="shared" si="118"/>
        <v>3308.972</v>
      </c>
      <c r="AM63" s="232"/>
      <c r="AN63" s="232">
        <f t="shared" si="119"/>
        <v>3308.972</v>
      </c>
      <c r="AO63" s="232">
        <f t="shared" si="119"/>
        <v>0</v>
      </c>
      <c r="AP63" s="235">
        <f t="shared" si="119"/>
        <v>0</v>
      </c>
      <c r="AQ63" s="232">
        <f t="shared" si="120"/>
        <v>3308.972</v>
      </c>
      <c r="AR63" s="232"/>
      <c r="AS63" s="232">
        <v>3308.972</v>
      </c>
      <c r="AT63" s="232"/>
      <c r="AU63" s="232"/>
      <c r="AV63" s="232">
        <f t="shared" si="121"/>
        <v>3308.972</v>
      </c>
      <c r="AW63" s="232"/>
      <c r="AX63" s="232">
        <v>3308.972</v>
      </c>
      <c r="AY63" s="232"/>
      <c r="AZ63" s="232"/>
      <c r="BA63" s="232">
        <f t="shared" si="122"/>
        <v>1055.418</v>
      </c>
      <c r="BB63" s="232"/>
      <c r="BC63" s="232">
        <v>1055.418</v>
      </c>
      <c r="BD63" s="232"/>
      <c r="BE63" s="232"/>
      <c r="BF63" s="232">
        <f t="shared" si="123"/>
        <v>1055.418</v>
      </c>
      <c r="BG63" s="232"/>
      <c r="BH63" s="232">
        <v>1055.418</v>
      </c>
      <c r="BI63" s="232"/>
      <c r="BJ63" s="232"/>
      <c r="BK63" s="232">
        <f t="shared" si="124"/>
        <v>4364.39</v>
      </c>
      <c r="BL63" s="232">
        <f t="shared" si="125"/>
        <v>0</v>
      </c>
      <c r="BM63" s="232">
        <f t="shared" si="126"/>
        <v>4364.39</v>
      </c>
      <c r="BN63" s="232">
        <f t="shared" si="127"/>
        <v>0</v>
      </c>
      <c r="BO63" s="232">
        <f t="shared" si="128"/>
        <v>0</v>
      </c>
      <c r="BP63" s="316">
        <f t="shared" si="129"/>
        <v>0</v>
      </c>
      <c r="BQ63" s="317">
        <f t="shared" si="130"/>
        <v>0</v>
      </c>
      <c r="BR63" s="317">
        <f t="shared" si="131"/>
        <v>0</v>
      </c>
      <c r="BS63" s="317">
        <f t="shared" si="132"/>
        <v>0</v>
      </c>
      <c r="BT63" s="317">
        <f t="shared" si="133"/>
        <v>0</v>
      </c>
      <c r="BU63" s="229">
        <v>1</v>
      </c>
      <c r="BV63" s="305"/>
      <c r="BW63" s="331" t="s">
        <v>228</v>
      </c>
      <c r="BY63" s="232"/>
      <c r="BZ63" s="232">
        <v>1</v>
      </c>
      <c r="CA63" s="317"/>
      <c r="CB63" s="232"/>
      <c r="CC63" s="232"/>
    </row>
    <row r="64" spans="1:81" s="229" customFormat="1" ht="14.25" customHeight="1">
      <c r="A64" s="230">
        <v>47</v>
      </c>
      <c r="B64" s="239" t="s">
        <v>99</v>
      </c>
      <c r="C64" s="232">
        <f t="shared" si="107"/>
        <v>1130.522</v>
      </c>
      <c r="D64" s="233"/>
      <c r="E64" s="232">
        <f t="shared" si="108"/>
        <v>1130.522</v>
      </c>
      <c r="F64" s="233"/>
      <c r="G64" s="232"/>
      <c r="H64" s="232">
        <f t="shared" si="109"/>
        <v>2649.0029999999997</v>
      </c>
      <c r="I64" s="233"/>
      <c r="J64" s="232">
        <f t="shared" si="110"/>
        <v>1130.522</v>
      </c>
      <c r="K64" s="232">
        <f t="shared" si="111"/>
        <v>1518.481</v>
      </c>
      <c r="L64" s="240"/>
      <c r="M64" s="232">
        <f t="shared" si="18"/>
        <v>1130.522</v>
      </c>
      <c r="N64" s="232"/>
      <c r="O64" s="232">
        <v>1130.522</v>
      </c>
      <c r="P64" s="232"/>
      <c r="Q64" s="232"/>
      <c r="R64" s="234">
        <f t="shared" si="112"/>
        <v>1130.522</v>
      </c>
      <c r="S64" s="232"/>
      <c r="T64" s="232">
        <v>1130.522</v>
      </c>
      <c r="U64" s="232"/>
      <c r="V64" s="235"/>
      <c r="W64" s="232">
        <f t="shared" si="113"/>
        <v>0</v>
      </c>
      <c r="X64" s="232">
        <f t="shared" si="114"/>
        <v>0</v>
      </c>
      <c r="Y64" s="232">
        <f t="shared" si="114"/>
        <v>0</v>
      </c>
      <c r="Z64" s="232">
        <f t="shared" si="114"/>
        <v>0</v>
      </c>
      <c r="AA64" s="232">
        <f t="shared" si="114"/>
        <v>0</v>
      </c>
      <c r="AB64" s="232">
        <f t="shared" si="115"/>
        <v>1130.522</v>
      </c>
      <c r="AC64" s="232"/>
      <c r="AD64" s="232">
        <f t="shared" si="116"/>
        <v>1130.522</v>
      </c>
      <c r="AE64" s="232">
        <f t="shared" si="116"/>
        <v>0</v>
      </c>
      <c r="AF64" s="232">
        <f t="shared" si="116"/>
        <v>0</v>
      </c>
      <c r="AG64" s="232">
        <f t="shared" si="117"/>
        <v>0</v>
      </c>
      <c r="AH64" s="232"/>
      <c r="AI64" s="232"/>
      <c r="AJ64" s="232"/>
      <c r="AK64" s="236"/>
      <c r="AL64" s="234">
        <f t="shared" si="118"/>
        <v>1130.522</v>
      </c>
      <c r="AM64" s="232"/>
      <c r="AN64" s="232">
        <f t="shared" si="119"/>
        <v>1130.522</v>
      </c>
      <c r="AO64" s="232">
        <f t="shared" si="119"/>
        <v>0</v>
      </c>
      <c r="AP64" s="235">
        <f t="shared" si="119"/>
        <v>0</v>
      </c>
      <c r="AQ64" s="232">
        <f t="shared" si="120"/>
        <v>1130.522</v>
      </c>
      <c r="AR64" s="232"/>
      <c r="AS64" s="232">
        <f>605.333+525.189</f>
        <v>1130.522</v>
      </c>
      <c r="AT64" s="232"/>
      <c r="AU64" s="232"/>
      <c r="AV64" s="232">
        <f t="shared" si="121"/>
        <v>1130.522</v>
      </c>
      <c r="AW64" s="232"/>
      <c r="AX64" s="232">
        <f>605.333+525.189</f>
        <v>1130.522</v>
      </c>
      <c r="AY64" s="232"/>
      <c r="AZ64" s="232"/>
      <c r="BA64" s="232">
        <f t="shared" si="122"/>
        <v>1518.481</v>
      </c>
      <c r="BB64" s="232"/>
      <c r="BC64" s="232">
        <v>1518.481</v>
      </c>
      <c r="BD64" s="232"/>
      <c r="BE64" s="232"/>
      <c r="BF64" s="232">
        <f t="shared" si="123"/>
        <v>1518.481</v>
      </c>
      <c r="BG64" s="232"/>
      <c r="BH64" s="232">
        <v>1518.481</v>
      </c>
      <c r="BI64" s="232"/>
      <c r="BJ64" s="232"/>
      <c r="BK64" s="232">
        <f t="shared" si="124"/>
        <v>2649.0029999999997</v>
      </c>
      <c r="BL64" s="232">
        <f t="shared" si="125"/>
        <v>0</v>
      </c>
      <c r="BM64" s="232">
        <f t="shared" si="126"/>
        <v>2649.0029999999997</v>
      </c>
      <c r="BN64" s="232">
        <f t="shared" si="127"/>
        <v>0</v>
      </c>
      <c r="BO64" s="232">
        <f t="shared" si="128"/>
        <v>0</v>
      </c>
      <c r="BP64" s="316">
        <f t="shared" si="129"/>
        <v>0</v>
      </c>
      <c r="BQ64" s="317">
        <f t="shared" si="130"/>
        <v>0</v>
      </c>
      <c r="BR64" s="317">
        <f t="shared" si="131"/>
        <v>0</v>
      </c>
      <c r="BS64" s="317">
        <f t="shared" si="132"/>
        <v>0</v>
      </c>
      <c r="BT64" s="317">
        <f t="shared" si="133"/>
        <v>0</v>
      </c>
      <c r="BU64" s="229">
        <v>1</v>
      </c>
      <c r="BV64" s="305"/>
      <c r="BW64" s="331" t="s">
        <v>228</v>
      </c>
      <c r="BY64" s="232"/>
      <c r="BZ64" s="232">
        <v>1</v>
      </c>
      <c r="CA64" s="317"/>
      <c r="CB64" s="232"/>
      <c r="CC64" s="232"/>
    </row>
    <row r="65" spans="1:81" s="229" customFormat="1" ht="14.25" customHeight="1">
      <c r="A65" s="230">
        <v>48</v>
      </c>
      <c r="B65" s="239" t="s">
        <v>100</v>
      </c>
      <c r="C65" s="232">
        <f t="shared" si="107"/>
        <v>15599.881000000001</v>
      </c>
      <c r="D65" s="233"/>
      <c r="E65" s="232">
        <f t="shared" si="108"/>
        <v>15599.881000000001</v>
      </c>
      <c r="F65" s="233"/>
      <c r="G65" s="232"/>
      <c r="H65" s="232">
        <f t="shared" si="109"/>
        <v>17518.28134</v>
      </c>
      <c r="I65" s="233"/>
      <c r="J65" s="232">
        <f t="shared" si="110"/>
        <v>15599.881</v>
      </c>
      <c r="K65" s="232">
        <f t="shared" si="111"/>
        <v>1918.4003400000001</v>
      </c>
      <c r="L65" s="240"/>
      <c r="M65" s="232">
        <f t="shared" si="18"/>
        <v>15599.881000000001</v>
      </c>
      <c r="N65" s="232"/>
      <c r="O65" s="232">
        <f>5899.881+2127.4</f>
        <v>8027.281000000001</v>
      </c>
      <c r="P65" s="232">
        <v>7572.6</v>
      </c>
      <c r="Q65" s="232"/>
      <c r="R65" s="234">
        <f t="shared" si="112"/>
        <v>15599.881</v>
      </c>
      <c r="S65" s="232"/>
      <c r="T65" s="232">
        <f>3159.065+2740.816+2127.4</f>
        <v>8027.280999999999</v>
      </c>
      <c r="U65" s="232">
        <v>7572.6</v>
      </c>
      <c r="V65" s="235"/>
      <c r="W65" s="232">
        <f t="shared" si="113"/>
        <v>0</v>
      </c>
      <c r="X65" s="232">
        <f t="shared" si="114"/>
        <v>0</v>
      </c>
      <c r="Y65" s="232">
        <f t="shared" si="114"/>
        <v>0</v>
      </c>
      <c r="Z65" s="232">
        <f t="shared" si="114"/>
        <v>0</v>
      </c>
      <c r="AA65" s="232">
        <f t="shared" si="114"/>
        <v>0</v>
      </c>
      <c r="AB65" s="232">
        <f t="shared" si="115"/>
        <v>15599.881</v>
      </c>
      <c r="AC65" s="232"/>
      <c r="AD65" s="232">
        <f t="shared" si="116"/>
        <v>8027.280999999999</v>
      </c>
      <c r="AE65" s="232">
        <f t="shared" si="116"/>
        <v>7572.6</v>
      </c>
      <c r="AF65" s="232">
        <f t="shared" si="116"/>
        <v>0</v>
      </c>
      <c r="AG65" s="232">
        <f t="shared" si="117"/>
        <v>0</v>
      </c>
      <c r="AH65" s="232"/>
      <c r="AI65" s="232"/>
      <c r="AJ65" s="232"/>
      <c r="AK65" s="236"/>
      <c r="AL65" s="234">
        <f t="shared" si="118"/>
        <v>15599.881</v>
      </c>
      <c r="AM65" s="232"/>
      <c r="AN65" s="232">
        <f t="shared" si="119"/>
        <v>8027.280999999999</v>
      </c>
      <c r="AO65" s="232">
        <f t="shared" si="119"/>
        <v>7572.6</v>
      </c>
      <c r="AP65" s="235">
        <f t="shared" si="119"/>
        <v>0</v>
      </c>
      <c r="AQ65" s="232">
        <f t="shared" si="120"/>
        <v>11089.881000000001</v>
      </c>
      <c r="AR65" s="232"/>
      <c r="AS65" s="232">
        <f>5899.881</f>
        <v>5899.881</v>
      </c>
      <c r="AT65" s="232">
        <f>5190</f>
        <v>5190</v>
      </c>
      <c r="AU65" s="232"/>
      <c r="AV65" s="232">
        <f t="shared" si="121"/>
        <v>11089.881000000001</v>
      </c>
      <c r="AW65" s="232"/>
      <c r="AX65" s="232">
        <f>5899.881</f>
        <v>5899.881</v>
      </c>
      <c r="AY65" s="232">
        <f>5190</f>
        <v>5190</v>
      </c>
      <c r="AZ65" s="232"/>
      <c r="BA65" s="232">
        <f t="shared" si="122"/>
        <v>1918.4003400000001</v>
      </c>
      <c r="BB65" s="232"/>
      <c r="BC65" s="232">
        <v>1639.75455</v>
      </c>
      <c r="BD65" s="232">
        <v>278.64579</v>
      </c>
      <c r="BE65" s="232"/>
      <c r="BF65" s="232">
        <f t="shared" si="123"/>
        <v>1918.4003400000001</v>
      </c>
      <c r="BG65" s="232"/>
      <c r="BH65" s="232">
        <v>1639.75455</v>
      </c>
      <c r="BI65" s="232">
        <v>278.64579</v>
      </c>
      <c r="BJ65" s="232"/>
      <c r="BK65" s="232">
        <f t="shared" si="124"/>
        <v>13008.281340000001</v>
      </c>
      <c r="BL65" s="232">
        <f t="shared" si="125"/>
        <v>0</v>
      </c>
      <c r="BM65" s="232">
        <f t="shared" si="126"/>
        <v>7539.635550000001</v>
      </c>
      <c r="BN65" s="232">
        <f t="shared" si="127"/>
        <v>5468.64579</v>
      </c>
      <c r="BO65" s="232">
        <f t="shared" si="128"/>
        <v>0</v>
      </c>
      <c r="BP65" s="316">
        <f t="shared" si="129"/>
        <v>4509.999999999999</v>
      </c>
      <c r="BQ65" s="317">
        <f t="shared" si="130"/>
        <v>0</v>
      </c>
      <c r="BR65" s="317">
        <f t="shared" si="131"/>
        <v>2127.3999999999987</v>
      </c>
      <c r="BS65" s="317">
        <f t="shared" si="132"/>
        <v>2382.6000000000004</v>
      </c>
      <c r="BT65" s="317">
        <f t="shared" si="133"/>
        <v>0</v>
      </c>
      <c r="BV65" s="305">
        <v>1</v>
      </c>
      <c r="BW65" s="332" t="s">
        <v>229</v>
      </c>
      <c r="BY65" s="232"/>
      <c r="BZ65" s="232"/>
      <c r="CA65" s="317">
        <v>1</v>
      </c>
      <c r="CB65" s="232"/>
      <c r="CC65" s="232"/>
    </row>
    <row r="66" spans="1:81" s="229" customFormat="1" ht="14.25" customHeight="1">
      <c r="A66" s="230">
        <v>49</v>
      </c>
      <c r="B66" s="239" t="s">
        <v>101</v>
      </c>
      <c r="C66" s="232">
        <f t="shared" si="107"/>
        <v>5663.986000000001</v>
      </c>
      <c r="D66" s="233"/>
      <c r="E66" s="232">
        <f t="shared" si="108"/>
        <v>5663.986000000001</v>
      </c>
      <c r="F66" s="233"/>
      <c r="G66" s="232"/>
      <c r="H66" s="232">
        <f t="shared" si="109"/>
        <v>5712.12561</v>
      </c>
      <c r="I66" s="233"/>
      <c r="J66" s="232">
        <f t="shared" si="110"/>
        <v>5532.30586</v>
      </c>
      <c r="K66" s="232">
        <f t="shared" si="111"/>
        <v>179.81975</v>
      </c>
      <c r="L66" s="240"/>
      <c r="M66" s="232">
        <f t="shared" si="18"/>
        <v>5663.986000000001</v>
      </c>
      <c r="N66" s="232"/>
      <c r="O66" s="232">
        <f>2489.384-1.2+544.572</f>
        <v>3032.7560000000003</v>
      </c>
      <c r="P66" s="232"/>
      <c r="Q66" s="232">
        <f>2159.799+471.431</f>
        <v>2631.23</v>
      </c>
      <c r="R66" s="234">
        <f t="shared" si="112"/>
        <v>5532.30586</v>
      </c>
      <c r="S66" s="232"/>
      <c r="T66" s="232">
        <f>2488.184+542.072</f>
        <v>3030.2560000000003</v>
      </c>
      <c r="U66" s="232"/>
      <c r="V66" s="235">
        <f>2159.799+342.25086</f>
        <v>2502.04986</v>
      </c>
      <c r="W66" s="232">
        <f t="shared" si="113"/>
        <v>131.68013999999994</v>
      </c>
      <c r="X66" s="232">
        <f t="shared" si="114"/>
        <v>0</v>
      </c>
      <c r="Y66" s="232">
        <f t="shared" si="114"/>
        <v>2.5</v>
      </c>
      <c r="Z66" s="232">
        <f t="shared" si="114"/>
        <v>0</v>
      </c>
      <c r="AA66" s="232">
        <f t="shared" si="114"/>
        <v>129.18013999999994</v>
      </c>
      <c r="AB66" s="232">
        <f t="shared" si="115"/>
        <v>5532.30586</v>
      </c>
      <c r="AC66" s="232"/>
      <c r="AD66" s="232">
        <f t="shared" si="116"/>
        <v>3030.2560000000003</v>
      </c>
      <c r="AE66" s="232">
        <f t="shared" si="116"/>
        <v>0</v>
      </c>
      <c r="AF66" s="232">
        <f t="shared" si="116"/>
        <v>2502.04986</v>
      </c>
      <c r="AG66" s="232">
        <f t="shared" si="117"/>
        <v>0</v>
      </c>
      <c r="AH66" s="232"/>
      <c r="AI66" s="232"/>
      <c r="AJ66" s="232"/>
      <c r="AK66" s="236"/>
      <c r="AL66" s="234">
        <f t="shared" si="118"/>
        <v>5532.30586</v>
      </c>
      <c r="AM66" s="232"/>
      <c r="AN66" s="232">
        <f t="shared" si="119"/>
        <v>3030.2560000000003</v>
      </c>
      <c r="AO66" s="232">
        <f t="shared" si="119"/>
        <v>0</v>
      </c>
      <c r="AP66" s="235">
        <f t="shared" si="119"/>
        <v>2502.04986</v>
      </c>
      <c r="AQ66" s="232">
        <f t="shared" si="120"/>
        <v>3416.57495</v>
      </c>
      <c r="AR66" s="232"/>
      <c r="AS66" s="232">
        <f>1956.76688</f>
        <v>1956.76688</v>
      </c>
      <c r="AT66" s="232"/>
      <c r="AU66" s="232">
        <f>1459.80807</f>
        <v>1459.80807</v>
      </c>
      <c r="AV66" s="232">
        <f t="shared" si="121"/>
        <v>3416.57495</v>
      </c>
      <c r="AW66" s="232"/>
      <c r="AX66" s="232">
        <f>1956.76688</f>
        <v>1956.76688</v>
      </c>
      <c r="AY66" s="232"/>
      <c r="AZ66" s="232">
        <f>1459.80807</f>
        <v>1459.80807</v>
      </c>
      <c r="BA66" s="232">
        <f t="shared" si="122"/>
        <v>179.81975</v>
      </c>
      <c r="BB66" s="232"/>
      <c r="BC66" s="232">
        <v>102.98774</v>
      </c>
      <c r="BD66" s="232"/>
      <c r="BE66" s="232">
        <v>76.83201</v>
      </c>
      <c r="BF66" s="232">
        <f t="shared" si="123"/>
        <v>179.81975</v>
      </c>
      <c r="BG66" s="232"/>
      <c r="BH66" s="232">
        <v>102.98774</v>
      </c>
      <c r="BI66" s="232"/>
      <c r="BJ66" s="232">
        <v>76.83201</v>
      </c>
      <c r="BK66" s="232">
        <f t="shared" si="124"/>
        <v>3596.3947</v>
      </c>
      <c r="BL66" s="232">
        <f t="shared" si="125"/>
        <v>0</v>
      </c>
      <c r="BM66" s="232">
        <f t="shared" si="126"/>
        <v>2059.7546199999997</v>
      </c>
      <c r="BN66" s="232">
        <f t="shared" si="127"/>
        <v>0</v>
      </c>
      <c r="BO66" s="232">
        <f t="shared" si="128"/>
        <v>1536.6400800000001</v>
      </c>
      <c r="BP66" s="316">
        <f t="shared" si="129"/>
        <v>2115.73091</v>
      </c>
      <c r="BQ66" s="317">
        <f t="shared" si="130"/>
        <v>0</v>
      </c>
      <c r="BR66" s="317">
        <f t="shared" si="131"/>
        <v>1073.4891200000004</v>
      </c>
      <c r="BS66" s="317">
        <f t="shared" si="132"/>
        <v>0</v>
      </c>
      <c r="BT66" s="317">
        <f t="shared" si="133"/>
        <v>1042.24179</v>
      </c>
      <c r="BV66" s="305">
        <v>1</v>
      </c>
      <c r="BW66" s="332" t="s">
        <v>229</v>
      </c>
      <c r="BY66" s="232"/>
      <c r="BZ66" s="232"/>
      <c r="CA66" s="317">
        <v>1</v>
      </c>
      <c r="CB66" s="232"/>
      <c r="CC66" s="232"/>
    </row>
    <row r="67" spans="1:81" s="229" customFormat="1" ht="14.25" customHeight="1">
      <c r="A67" s="230">
        <v>50</v>
      </c>
      <c r="B67" s="239" t="s">
        <v>102</v>
      </c>
      <c r="C67" s="232">
        <f t="shared" si="107"/>
        <v>9128.839</v>
      </c>
      <c r="D67" s="233"/>
      <c r="E67" s="232">
        <f t="shared" si="108"/>
        <v>9128.839</v>
      </c>
      <c r="F67" s="233"/>
      <c r="G67" s="232"/>
      <c r="H67" s="232">
        <f t="shared" si="109"/>
        <v>10075.89325</v>
      </c>
      <c r="I67" s="233"/>
      <c r="J67" s="232">
        <f t="shared" si="110"/>
        <v>9128.839</v>
      </c>
      <c r="K67" s="232">
        <f t="shared" si="111"/>
        <v>947.05425</v>
      </c>
      <c r="L67" s="240"/>
      <c r="M67" s="232">
        <f t="shared" si="18"/>
        <v>9128.839</v>
      </c>
      <c r="N67" s="232"/>
      <c r="O67" s="232">
        <v>9128.839</v>
      </c>
      <c r="P67" s="232"/>
      <c r="Q67" s="232"/>
      <c r="R67" s="234">
        <f t="shared" si="112"/>
        <v>9128.839</v>
      </c>
      <c r="S67" s="232"/>
      <c r="T67" s="232">
        <v>9128.839</v>
      </c>
      <c r="U67" s="232"/>
      <c r="V67" s="235"/>
      <c r="W67" s="232">
        <f t="shared" si="113"/>
        <v>0</v>
      </c>
      <c r="X67" s="232">
        <f t="shared" si="114"/>
        <v>0</v>
      </c>
      <c r="Y67" s="232">
        <f t="shared" si="114"/>
        <v>0</v>
      </c>
      <c r="Z67" s="232">
        <f t="shared" si="114"/>
        <v>0</v>
      </c>
      <c r="AA67" s="232">
        <f t="shared" si="114"/>
        <v>0</v>
      </c>
      <c r="AB67" s="232">
        <f t="shared" si="115"/>
        <v>9128.839</v>
      </c>
      <c r="AC67" s="232"/>
      <c r="AD67" s="232">
        <f t="shared" si="116"/>
        <v>9128.839</v>
      </c>
      <c r="AE67" s="232">
        <f t="shared" si="116"/>
        <v>0</v>
      </c>
      <c r="AF67" s="232">
        <f t="shared" si="116"/>
        <v>0</v>
      </c>
      <c r="AG67" s="232">
        <f t="shared" si="117"/>
        <v>0</v>
      </c>
      <c r="AH67" s="232"/>
      <c r="AI67" s="232"/>
      <c r="AJ67" s="232"/>
      <c r="AK67" s="236"/>
      <c r="AL67" s="234">
        <f t="shared" si="118"/>
        <v>9128.839</v>
      </c>
      <c r="AM67" s="232"/>
      <c r="AN67" s="232">
        <f t="shared" si="119"/>
        <v>9128.839</v>
      </c>
      <c r="AO67" s="232">
        <f t="shared" si="119"/>
        <v>0</v>
      </c>
      <c r="AP67" s="235">
        <f t="shared" si="119"/>
        <v>0</v>
      </c>
      <c r="AQ67" s="232">
        <f t="shared" si="120"/>
        <v>9128.839</v>
      </c>
      <c r="AR67" s="232"/>
      <c r="AS67" s="232">
        <f>1720.28+2644.473+4764.086</f>
        <v>9128.839</v>
      </c>
      <c r="AT67" s="232"/>
      <c r="AU67" s="232"/>
      <c r="AV67" s="232">
        <f t="shared" si="121"/>
        <v>9128.839</v>
      </c>
      <c r="AW67" s="232"/>
      <c r="AX67" s="232">
        <f>1720.28+2644.473+4764.086</f>
        <v>9128.839</v>
      </c>
      <c r="AY67" s="232"/>
      <c r="AZ67" s="232"/>
      <c r="BA67" s="232">
        <f t="shared" si="122"/>
        <v>947.05425</v>
      </c>
      <c r="BB67" s="232"/>
      <c r="BC67" s="232">
        <v>947.05425</v>
      </c>
      <c r="BD67" s="232"/>
      <c r="BE67" s="232"/>
      <c r="BF67" s="232">
        <f t="shared" si="123"/>
        <v>947.05425</v>
      </c>
      <c r="BG67" s="232"/>
      <c r="BH67" s="232">
        <v>947.05425</v>
      </c>
      <c r="BI67" s="232"/>
      <c r="BJ67" s="232"/>
      <c r="BK67" s="232">
        <f t="shared" si="124"/>
        <v>10075.89325</v>
      </c>
      <c r="BL67" s="232">
        <f t="shared" si="125"/>
        <v>0</v>
      </c>
      <c r="BM67" s="232">
        <f t="shared" si="126"/>
        <v>10075.89325</v>
      </c>
      <c r="BN67" s="232">
        <f t="shared" si="127"/>
        <v>0</v>
      </c>
      <c r="BO67" s="232">
        <f t="shared" si="128"/>
        <v>0</v>
      </c>
      <c r="BP67" s="316">
        <f t="shared" si="129"/>
        <v>0</v>
      </c>
      <c r="BQ67" s="317">
        <f t="shared" si="130"/>
        <v>0</v>
      </c>
      <c r="BR67" s="317">
        <f t="shared" si="131"/>
        <v>0</v>
      </c>
      <c r="BS67" s="317">
        <f t="shared" si="132"/>
        <v>0</v>
      </c>
      <c r="BT67" s="317">
        <f t="shared" si="133"/>
        <v>0</v>
      </c>
      <c r="BU67" s="229">
        <v>1</v>
      </c>
      <c r="BV67" s="305"/>
      <c r="BW67" s="331" t="s">
        <v>228</v>
      </c>
      <c r="BY67" s="232"/>
      <c r="BZ67" s="232">
        <v>1</v>
      </c>
      <c r="CA67" s="317"/>
      <c r="CB67" s="232"/>
      <c r="CC67" s="232"/>
    </row>
    <row r="68" spans="1:81" s="229" customFormat="1" ht="14.25" customHeight="1">
      <c r="A68" s="230">
        <v>51</v>
      </c>
      <c r="B68" s="239" t="s">
        <v>103</v>
      </c>
      <c r="C68" s="232">
        <f t="shared" si="107"/>
        <v>3341.7</v>
      </c>
      <c r="D68" s="233"/>
      <c r="E68" s="232">
        <f t="shared" si="108"/>
        <v>3341.7</v>
      </c>
      <c r="F68" s="233"/>
      <c r="G68" s="232"/>
      <c r="H68" s="232">
        <f t="shared" si="109"/>
        <v>4243.77251</v>
      </c>
      <c r="I68" s="233"/>
      <c r="J68" s="232">
        <f t="shared" si="110"/>
        <v>3341.7</v>
      </c>
      <c r="K68" s="232">
        <f t="shared" si="111"/>
        <v>902.07251</v>
      </c>
      <c r="L68" s="240"/>
      <c r="M68" s="232">
        <f t="shared" si="18"/>
        <v>3341.7</v>
      </c>
      <c r="N68" s="232"/>
      <c r="O68" s="232">
        <v>3341.7</v>
      </c>
      <c r="P68" s="232"/>
      <c r="Q68" s="232"/>
      <c r="R68" s="234">
        <f t="shared" si="112"/>
        <v>3341.7</v>
      </c>
      <c r="S68" s="232"/>
      <c r="T68" s="232">
        <v>3341.7</v>
      </c>
      <c r="U68" s="232"/>
      <c r="V68" s="235"/>
      <c r="W68" s="232">
        <f t="shared" si="113"/>
        <v>0</v>
      </c>
      <c r="X68" s="232">
        <f t="shared" si="114"/>
        <v>0</v>
      </c>
      <c r="Y68" s="232">
        <f t="shared" si="114"/>
        <v>0</v>
      </c>
      <c r="Z68" s="232">
        <f t="shared" si="114"/>
        <v>0</v>
      </c>
      <c r="AA68" s="232">
        <f t="shared" si="114"/>
        <v>0</v>
      </c>
      <c r="AB68" s="232">
        <f t="shared" si="115"/>
        <v>3341.7</v>
      </c>
      <c r="AC68" s="232"/>
      <c r="AD68" s="232">
        <f t="shared" si="116"/>
        <v>3341.7</v>
      </c>
      <c r="AE68" s="232">
        <f t="shared" si="116"/>
        <v>0</v>
      </c>
      <c r="AF68" s="232">
        <f t="shared" si="116"/>
        <v>0</v>
      </c>
      <c r="AG68" s="232">
        <f t="shared" si="117"/>
        <v>0</v>
      </c>
      <c r="AH68" s="232"/>
      <c r="AI68" s="232"/>
      <c r="AJ68" s="232"/>
      <c r="AK68" s="236"/>
      <c r="AL68" s="234">
        <f t="shared" si="118"/>
        <v>3341.7</v>
      </c>
      <c r="AM68" s="232"/>
      <c r="AN68" s="232">
        <f t="shared" si="119"/>
        <v>3341.7</v>
      </c>
      <c r="AO68" s="232">
        <f t="shared" si="119"/>
        <v>0</v>
      </c>
      <c r="AP68" s="235">
        <f t="shared" si="119"/>
        <v>0</v>
      </c>
      <c r="AQ68" s="232">
        <f t="shared" si="120"/>
        <v>3341.7</v>
      </c>
      <c r="AR68" s="232"/>
      <c r="AS68" s="232">
        <f>1957.16+1384.54</f>
        <v>3341.7</v>
      </c>
      <c r="AT68" s="232"/>
      <c r="AU68" s="232"/>
      <c r="AV68" s="232">
        <f t="shared" si="121"/>
        <v>3341.7</v>
      </c>
      <c r="AW68" s="232"/>
      <c r="AX68" s="232">
        <f>1957.16+1384.54</f>
        <v>3341.7</v>
      </c>
      <c r="AY68" s="232"/>
      <c r="AZ68" s="232"/>
      <c r="BA68" s="232">
        <f t="shared" si="122"/>
        <v>902.07251</v>
      </c>
      <c r="BB68" s="232"/>
      <c r="BC68" s="232">
        <f>662.37451+239.698</f>
        <v>902.07251</v>
      </c>
      <c r="BD68" s="232"/>
      <c r="BE68" s="232"/>
      <c r="BF68" s="232">
        <f t="shared" si="123"/>
        <v>902.07251</v>
      </c>
      <c r="BG68" s="232"/>
      <c r="BH68" s="232">
        <f>662.37451+239.698</f>
        <v>902.07251</v>
      </c>
      <c r="BI68" s="232"/>
      <c r="BJ68" s="232"/>
      <c r="BK68" s="232">
        <f t="shared" si="124"/>
        <v>4243.77251</v>
      </c>
      <c r="BL68" s="232">
        <f t="shared" si="125"/>
        <v>0</v>
      </c>
      <c r="BM68" s="232">
        <f t="shared" si="126"/>
        <v>4243.77251</v>
      </c>
      <c r="BN68" s="232">
        <f t="shared" si="127"/>
        <v>0</v>
      </c>
      <c r="BO68" s="232">
        <f t="shared" si="128"/>
        <v>0</v>
      </c>
      <c r="BP68" s="316">
        <f t="shared" si="129"/>
        <v>0</v>
      </c>
      <c r="BQ68" s="317">
        <f t="shared" si="130"/>
        <v>0</v>
      </c>
      <c r="BR68" s="317">
        <f t="shared" si="131"/>
        <v>0</v>
      </c>
      <c r="BS68" s="317">
        <f t="shared" si="132"/>
        <v>0</v>
      </c>
      <c r="BT68" s="317">
        <f t="shared" si="133"/>
        <v>0</v>
      </c>
      <c r="BU68" s="229">
        <v>1</v>
      </c>
      <c r="BV68" s="305"/>
      <c r="BW68" s="331" t="s">
        <v>228</v>
      </c>
      <c r="BY68" s="232"/>
      <c r="BZ68" s="232">
        <v>1</v>
      </c>
      <c r="CA68" s="317"/>
      <c r="CB68" s="232"/>
      <c r="CC68" s="232"/>
    </row>
    <row r="69" spans="1:81" s="260" customFormat="1" ht="14.25" customHeight="1">
      <c r="A69" s="230">
        <v>52</v>
      </c>
      <c r="B69" s="239" t="s">
        <v>104</v>
      </c>
      <c r="C69" s="232">
        <f t="shared" si="107"/>
        <v>2934.041</v>
      </c>
      <c r="D69" s="233"/>
      <c r="E69" s="232">
        <f t="shared" si="108"/>
        <v>2934.041</v>
      </c>
      <c r="F69" s="233"/>
      <c r="G69" s="232"/>
      <c r="H69" s="232">
        <f t="shared" si="109"/>
        <v>2934.041</v>
      </c>
      <c r="I69" s="233"/>
      <c r="J69" s="232">
        <f t="shared" si="110"/>
        <v>2934.041</v>
      </c>
      <c r="K69" s="232">
        <f t="shared" si="111"/>
        <v>0</v>
      </c>
      <c r="L69" s="240"/>
      <c r="M69" s="232">
        <f t="shared" si="18"/>
        <v>2934.041</v>
      </c>
      <c r="N69" s="232"/>
      <c r="O69" s="232">
        <v>1571.019</v>
      </c>
      <c r="P69" s="232"/>
      <c r="Q69" s="232">
        <v>1363.022</v>
      </c>
      <c r="R69" s="234">
        <f t="shared" si="112"/>
        <v>2934.041</v>
      </c>
      <c r="S69" s="232"/>
      <c r="T69" s="232">
        <v>1571.019</v>
      </c>
      <c r="U69" s="232"/>
      <c r="V69" s="235">
        <v>1363.022</v>
      </c>
      <c r="W69" s="232">
        <f t="shared" si="113"/>
        <v>0</v>
      </c>
      <c r="X69" s="232">
        <f t="shared" si="114"/>
        <v>0</v>
      </c>
      <c r="Y69" s="232">
        <f t="shared" si="114"/>
        <v>0</v>
      </c>
      <c r="Z69" s="232">
        <f t="shared" si="114"/>
        <v>0</v>
      </c>
      <c r="AA69" s="232">
        <f t="shared" si="114"/>
        <v>0</v>
      </c>
      <c r="AB69" s="232">
        <f t="shared" si="115"/>
        <v>2934.041</v>
      </c>
      <c r="AC69" s="232"/>
      <c r="AD69" s="232">
        <f t="shared" si="116"/>
        <v>1571.019</v>
      </c>
      <c r="AE69" s="232">
        <f t="shared" si="116"/>
        <v>0</v>
      </c>
      <c r="AF69" s="232">
        <f t="shared" si="116"/>
        <v>1363.022</v>
      </c>
      <c r="AG69" s="232">
        <f t="shared" si="117"/>
        <v>0</v>
      </c>
      <c r="AH69" s="232"/>
      <c r="AI69" s="232"/>
      <c r="AJ69" s="232"/>
      <c r="AK69" s="236"/>
      <c r="AL69" s="234">
        <f t="shared" si="118"/>
        <v>2934.041</v>
      </c>
      <c r="AM69" s="232"/>
      <c r="AN69" s="232">
        <f t="shared" si="119"/>
        <v>1571.019</v>
      </c>
      <c r="AO69" s="232">
        <f t="shared" si="119"/>
        <v>0</v>
      </c>
      <c r="AP69" s="235">
        <f t="shared" si="119"/>
        <v>1363.022</v>
      </c>
      <c r="AQ69" s="232">
        <f t="shared" si="120"/>
        <v>0</v>
      </c>
      <c r="AR69" s="232"/>
      <c r="AS69" s="232"/>
      <c r="AT69" s="232"/>
      <c r="AU69" s="232"/>
      <c r="AV69" s="232">
        <f t="shared" si="121"/>
        <v>0</v>
      </c>
      <c r="AW69" s="232"/>
      <c r="AX69" s="232"/>
      <c r="AY69" s="232"/>
      <c r="AZ69" s="232"/>
      <c r="BA69" s="232">
        <f t="shared" si="122"/>
        <v>0</v>
      </c>
      <c r="BB69" s="232"/>
      <c r="BC69" s="232">
        <v>0</v>
      </c>
      <c r="BD69" s="232"/>
      <c r="BE69" s="232"/>
      <c r="BF69" s="232">
        <f t="shared" si="123"/>
        <v>0</v>
      </c>
      <c r="BG69" s="232"/>
      <c r="BH69" s="232">
        <v>0</v>
      </c>
      <c r="BI69" s="232"/>
      <c r="BJ69" s="232"/>
      <c r="BK69" s="232">
        <f t="shared" si="124"/>
        <v>0</v>
      </c>
      <c r="BL69" s="232">
        <f t="shared" si="125"/>
        <v>0</v>
      </c>
      <c r="BM69" s="232">
        <f t="shared" si="126"/>
        <v>0</v>
      </c>
      <c r="BN69" s="232">
        <f t="shared" si="127"/>
        <v>0</v>
      </c>
      <c r="BO69" s="232">
        <f t="shared" si="128"/>
        <v>0</v>
      </c>
      <c r="BP69" s="316">
        <f t="shared" si="129"/>
        <v>2934.041</v>
      </c>
      <c r="BQ69" s="317">
        <f t="shared" si="130"/>
        <v>0</v>
      </c>
      <c r="BR69" s="317">
        <f t="shared" si="131"/>
        <v>1571.019</v>
      </c>
      <c r="BS69" s="317">
        <f t="shared" si="132"/>
        <v>0</v>
      </c>
      <c r="BT69" s="317">
        <f t="shared" si="133"/>
        <v>1363.022</v>
      </c>
      <c r="BV69" s="307">
        <v>1</v>
      </c>
      <c r="BW69" s="332" t="s">
        <v>229</v>
      </c>
      <c r="BY69" s="232"/>
      <c r="BZ69" s="232"/>
      <c r="CA69" s="317">
        <v>1</v>
      </c>
      <c r="CB69" s="232"/>
      <c r="CC69" s="232"/>
    </row>
    <row r="70" spans="1:81" s="229" customFormat="1" ht="14.25" customHeight="1">
      <c r="A70" s="230">
        <v>53</v>
      </c>
      <c r="B70" s="239" t="s">
        <v>105</v>
      </c>
      <c r="C70" s="232">
        <f t="shared" si="107"/>
        <v>7428.404</v>
      </c>
      <c r="D70" s="233"/>
      <c r="E70" s="232">
        <f t="shared" si="108"/>
        <v>7428.404</v>
      </c>
      <c r="F70" s="233"/>
      <c r="G70" s="232"/>
      <c r="H70" s="232">
        <f t="shared" si="109"/>
        <v>5917.04789</v>
      </c>
      <c r="I70" s="233"/>
      <c r="J70" s="232">
        <f t="shared" si="110"/>
        <v>4540.278</v>
      </c>
      <c r="K70" s="232">
        <f t="shared" si="111"/>
        <v>1376.76989</v>
      </c>
      <c r="L70" s="240"/>
      <c r="M70" s="232">
        <f t="shared" si="18"/>
        <v>7428.404</v>
      </c>
      <c r="N70" s="232">
        <v>5000</v>
      </c>
      <c r="O70" s="232">
        <v>1300.278</v>
      </c>
      <c r="P70" s="232"/>
      <c r="Q70" s="232">
        <v>1128.126</v>
      </c>
      <c r="R70" s="234">
        <f t="shared" si="112"/>
        <v>4910.278</v>
      </c>
      <c r="S70" s="232">
        <f>5000-1390</f>
        <v>3610</v>
      </c>
      <c r="T70" s="232">
        <v>1300.278</v>
      </c>
      <c r="U70" s="232"/>
      <c r="V70" s="235"/>
      <c r="W70" s="232">
        <f t="shared" si="113"/>
        <v>2518.126</v>
      </c>
      <c r="X70" s="232">
        <f t="shared" si="114"/>
        <v>1390</v>
      </c>
      <c r="Y70" s="232">
        <f t="shared" si="114"/>
        <v>0</v>
      </c>
      <c r="Z70" s="232">
        <f t="shared" si="114"/>
        <v>0</v>
      </c>
      <c r="AA70" s="232">
        <f t="shared" si="114"/>
        <v>1128.126</v>
      </c>
      <c r="AB70" s="232">
        <f t="shared" si="115"/>
        <v>1300.278</v>
      </c>
      <c r="AC70" s="232"/>
      <c r="AD70" s="232">
        <f t="shared" si="116"/>
        <v>1300.278</v>
      </c>
      <c r="AE70" s="232">
        <f t="shared" si="116"/>
        <v>0</v>
      </c>
      <c r="AF70" s="232">
        <f t="shared" si="116"/>
        <v>0</v>
      </c>
      <c r="AG70" s="232">
        <f t="shared" si="117"/>
        <v>1128.126</v>
      </c>
      <c r="AH70" s="232"/>
      <c r="AI70" s="232"/>
      <c r="AJ70" s="232"/>
      <c r="AK70" s="236">
        <v>1128.126</v>
      </c>
      <c r="AL70" s="234">
        <f t="shared" si="118"/>
        <v>4540.278</v>
      </c>
      <c r="AM70" s="232">
        <f>1760+1480</f>
        <v>3240</v>
      </c>
      <c r="AN70" s="232">
        <f t="shared" si="119"/>
        <v>1300.278</v>
      </c>
      <c r="AO70" s="232">
        <f t="shared" si="119"/>
        <v>0</v>
      </c>
      <c r="AP70" s="235"/>
      <c r="AQ70" s="232">
        <f t="shared" si="120"/>
        <v>4540.278</v>
      </c>
      <c r="AR70" s="232">
        <v>3240</v>
      </c>
      <c r="AS70" s="232">
        <v>1300.278</v>
      </c>
      <c r="AT70" s="232"/>
      <c r="AU70" s="232"/>
      <c r="AV70" s="232">
        <f t="shared" si="121"/>
        <v>4540.278</v>
      </c>
      <c r="AW70" s="232">
        <v>3240</v>
      </c>
      <c r="AX70" s="232">
        <v>1300.278</v>
      </c>
      <c r="AY70" s="232"/>
      <c r="AZ70" s="232"/>
      <c r="BA70" s="232">
        <f t="shared" si="122"/>
        <v>1376.76989</v>
      </c>
      <c r="BB70" s="232">
        <v>190</v>
      </c>
      <c r="BC70" s="232">
        <v>1186.76989</v>
      </c>
      <c r="BD70" s="232"/>
      <c r="BE70" s="232"/>
      <c r="BF70" s="232">
        <f t="shared" si="123"/>
        <v>1376.76989</v>
      </c>
      <c r="BG70" s="232">
        <v>190</v>
      </c>
      <c r="BH70" s="232">
        <v>1186.76989</v>
      </c>
      <c r="BI70" s="232"/>
      <c r="BJ70" s="232"/>
      <c r="BK70" s="232">
        <f t="shared" si="124"/>
        <v>5917.04789</v>
      </c>
      <c r="BL70" s="232">
        <f t="shared" si="125"/>
        <v>3430</v>
      </c>
      <c r="BM70" s="232">
        <f t="shared" si="126"/>
        <v>2487.04789</v>
      </c>
      <c r="BN70" s="232">
        <f t="shared" si="127"/>
        <v>0</v>
      </c>
      <c r="BO70" s="232">
        <f t="shared" si="128"/>
        <v>0</v>
      </c>
      <c r="BP70" s="316">
        <f t="shared" si="129"/>
        <v>0</v>
      </c>
      <c r="BQ70" s="317">
        <f t="shared" si="130"/>
        <v>0</v>
      </c>
      <c r="BR70" s="317">
        <f t="shared" si="131"/>
        <v>0</v>
      </c>
      <c r="BS70" s="317">
        <f t="shared" si="132"/>
        <v>0</v>
      </c>
      <c r="BT70" s="317">
        <f t="shared" si="133"/>
        <v>0</v>
      </c>
      <c r="BV70" s="305">
        <v>1</v>
      </c>
      <c r="BW70" s="332" t="s">
        <v>229</v>
      </c>
      <c r="BY70" s="232"/>
      <c r="BZ70" s="232"/>
      <c r="CA70" s="317">
        <v>1</v>
      </c>
      <c r="CB70" s="232"/>
      <c r="CC70" s="232"/>
    </row>
    <row r="71" spans="1:81" s="229" customFormat="1" ht="24.75" customHeight="1">
      <c r="A71" s="238"/>
      <c r="B71" s="301" t="s">
        <v>20</v>
      </c>
      <c r="C71" s="228">
        <f aca="true" t="shared" si="134" ref="C71:K71">SUM(C72:C87)</f>
        <v>55570.758</v>
      </c>
      <c r="D71" s="228">
        <f t="shared" si="134"/>
        <v>0</v>
      </c>
      <c r="E71" s="228">
        <f t="shared" si="134"/>
        <v>55570.758</v>
      </c>
      <c r="F71" s="228">
        <f t="shared" si="134"/>
        <v>0</v>
      </c>
      <c r="G71" s="228">
        <f t="shared" si="134"/>
        <v>0</v>
      </c>
      <c r="H71" s="228">
        <f t="shared" si="134"/>
        <v>47606.6261</v>
      </c>
      <c r="I71" s="228">
        <f t="shared" si="134"/>
        <v>0</v>
      </c>
      <c r="J71" s="228">
        <f t="shared" si="134"/>
        <v>40936.93</v>
      </c>
      <c r="K71" s="228">
        <f t="shared" si="134"/>
        <v>6669.696100000001</v>
      </c>
      <c r="L71" s="224"/>
      <c r="M71" s="223">
        <f t="shared" si="18"/>
        <v>55570.758</v>
      </c>
      <c r="N71" s="223">
        <f>SUM(N72:N87)</f>
        <v>12525.758</v>
      </c>
      <c r="O71" s="223">
        <f>SUM(O72:O87)</f>
        <v>28719.790999999997</v>
      </c>
      <c r="P71" s="223">
        <f>SUM(P72:P87)</f>
        <v>4409.448</v>
      </c>
      <c r="Q71" s="223">
        <f>SUM(Q72:Q87)</f>
        <v>9915.761</v>
      </c>
      <c r="R71" s="225">
        <f aca="true" t="shared" si="135" ref="R71:AP71">SUM(R72:R87)</f>
        <v>49885.030000000006</v>
      </c>
      <c r="S71" s="223">
        <f t="shared" si="135"/>
        <v>8948.099999999999</v>
      </c>
      <c r="T71" s="223">
        <f t="shared" si="135"/>
        <v>26611.720999999998</v>
      </c>
      <c r="U71" s="223">
        <f t="shared" si="135"/>
        <v>4409.448</v>
      </c>
      <c r="V71" s="226">
        <f t="shared" si="135"/>
        <v>9915.761</v>
      </c>
      <c r="W71" s="223">
        <f t="shared" si="135"/>
        <v>5685.728</v>
      </c>
      <c r="X71" s="223">
        <f t="shared" si="135"/>
        <v>3577.6580000000004</v>
      </c>
      <c r="Y71" s="223">
        <f t="shared" si="135"/>
        <v>2108.07</v>
      </c>
      <c r="Z71" s="223">
        <f t="shared" si="135"/>
        <v>0</v>
      </c>
      <c r="AA71" s="223">
        <f t="shared" si="135"/>
        <v>0</v>
      </c>
      <c r="AB71" s="223">
        <f t="shared" si="135"/>
        <v>40936.93</v>
      </c>
      <c r="AC71" s="223">
        <f t="shared" si="135"/>
        <v>0</v>
      </c>
      <c r="AD71" s="223">
        <f t="shared" si="135"/>
        <v>26611.720999999998</v>
      </c>
      <c r="AE71" s="223">
        <f t="shared" si="135"/>
        <v>4409.448</v>
      </c>
      <c r="AF71" s="223">
        <f t="shared" si="135"/>
        <v>9915.761</v>
      </c>
      <c r="AG71" s="223">
        <f t="shared" si="135"/>
        <v>0</v>
      </c>
      <c r="AH71" s="223">
        <f t="shared" si="135"/>
        <v>0</v>
      </c>
      <c r="AI71" s="223">
        <f t="shared" si="135"/>
        <v>0</v>
      </c>
      <c r="AJ71" s="223">
        <f t="shared" si="135"/>
        <v>0</v>
      </c>
      <c r="AK71" s="227">
        <f t="shared" si="135"/>
        <v>0</v>
      </c>
      <c r="AL71" s="225">
        <f t="shared" si="135"/>
        <v>40936.93</v>
      </c>
      <c r="AM71" s="223">
        <f t="shared" si="135"/>
        <v>0</v>
      </c>
      <c r="AN71" s="223">
        <f t="shared" si="135"/>
        <v>26611.720999999998</v>
      </c>
      <c r="AO71" s="223">
        <f t="shared" si="135"/>
        <v>4409.448</v>
      </c>
      <c r="AP71" s="226">
        <f t="shared" si="135"/>
        <v>9915.761</v>
      </c>
      <c r="AQ71" s="223">
        <f aca="true" t="shared" si="136" ref="AQ71:BE71">SUM(AQ72:AQ87)</f>
        <v>34660.1476</v>
      </c>
      <c r="AR71" s="223">
        <f t="shared" si="136"/>
        <v>0</v>
      </c>
      <c r="AS71" s="223">
        <f t="shared" si="136"/>
        <v>23694.2906</v>
      </c>
      <c r="AT71" s="223">
        <f t="shared" si="136"/>
        <v>3240.9379999999996</v>
      </c>
      <c r="AU71" s="223">
        <f t="shared" si="136"/>
        <v>7724.918999999999</v>
      </c>
      <c r="AV71" s="223">
        <f t="shared" si="136"/>
        <v>34660.1476</v>
      </c>
      <c r="AW71" s="223">
        <f t="shared" si="136"/>
        <v>0</v>
      </c>
      <c r="AX71" s="223">
        <f t="shared" si="136"/>
        <v>23694.2906</v>
      </c>
      <c r="AY71" s="223">
        <f t="shared" si="136"/>
        <v>3240.9379999999996</v>
      </c>
      <c r="AZ71" s="223">
        <f t="shared" si="136"/>
        <v>7724.918999999999</v>
      </c>
      <c r="BA71" s="223">
        <f t="shared" si="136"/>
        <v>6669.696100000001</v>
      </c>
      <c r="BB71" s="223">
        <f t="shared" si="136"/>
        <v>0</v>
      </c>
      <c r="BC71" s="223">
        <f t="shared" si="136"/>
        <v>4454.690170000001</v>
      </c>
      <c r="BD71" s="223">
        <f t="shared" si="136"/>
        <v>170.57737</v>
      </c>
      <c r="BE71" s="223">
        <f t="shared" si="136"/>
        <v>2044.4285599999998</v>
      </c>
      <c r="BF71" s="223">
        <f aca="true" t="shared" si="137" ref="BF71:BT71">SUM(BF72:BF87)</f>
        <v>6669.696100000001</v>
      </c>
      <c r="BG71" s="223">
        <f t="shared" si="137"/>
        <v>0</v>
      </c>
      <c r="BH71" s="223">
        <f t="shared" si="137"/>
        <v>4454.690170000001</v>
      </c>
      <c r="BI71" s="223">
        <f t="shared" si="137"/>
        <v>170.57737</v>
      </c>
      <c r="BJ71" s="223">
        <f t="shared" si="137"/>
        <v>2044.4285599999998</v>
      </c>
      <c r="BK71" s="223">
        <f t="shared" si="137"/>
        <v>41329.8437</v>
      </c>
      <c r="BL71" s="223">
        <f t="shared" si="137"/>
        <v>0</v>
      </c>
      <c r="BM71" s="223">
        <f t="shared" si="137"/>
        <v>28148.98077</v>
      </c>
      <c r="BN71" s="223">
        <f t="shared" si="137"/>
        <v>3411.5153699999996</v>
      </c>
      <c r="BO71" s="223">
        <f t="shared" si="137"/>
        <v>9769.34756</v>
      </c>
      <c r="BP71" s="314">
        <f t="shared" si="137"/>
        <v>6276.7824</v>
      </c>
      <c r="BQ71" s="315">
        <f t="shared" si="137"/>
        <v>0</v>
      </c>
      <c r="BR71" s="315">
        <f t="shared" si="137"/>
        <v>2917.4304</v>
      </c>
      <c r="BS71" s="315">
        <f t="shared" si="137"/>
        <v>1168.5100000000007</v>
      </c>
      <c r="BT71" s="315">
        <f t="shared" si="137"/>
        <v>2190.8419999999996</v>
      </c>
      <c r="BV71" s="305"/>
      <c r="BW71" s="349" t="s">
        <v>302</v>
      </c>
      <c r="BY71" s="223">
        <f>SUM(BY72:BY87)</f>
        <v>892.4000000000001</v>
      </c>
      <c r="BZ71" s="223">
        <f>SUM(BZ72:BZ87)</f>
        <v>9</v>
      </c>
      <c r="CA71" s="315">
        <f>SUM(CA72:CA87)</f>
        <v>5</v>
      </c>
      <c r="CB71" s="223">
        <f>SUM(CB72:CB87)</f>
        <v>0</v>
      </c>
      <c r="CC71" s="223">
        <f>SUM(CC72:CC87)</f>
        <v>0</v>
      </c>
    </row>
    <row r="72" spans="1:81" s="229" customFormat="1" ht="15.75" customHeight="1">
      <c r="A72" s="261">
        <v>54</v>
      </c>
      <c r="B72" s="262" t="s">
        <v>29</v>
      </c>
      <c r="C72" s="232">
        <f aca="true" t="shared" si="138" ref="C72:C87">E72+D72+F72</f>
        <v>13207.190999999999</v>
      </c>
      <c r="D72" s="233"/>
      <c r="E72" s="232">
        <f aca="true" t="shared" si="139" ref="E72:E87">M72</f>
        <v>13207.190999999999</v>
      </c>
      <c r="F72" s="233"/>
      <c r="G72" s="232"/>
      <c r="H72" s="232">
        <f aca="true" t="shared" si="140" ref="H72:H87">I72+J72+K72</f>
        <v>3980.45858</v>
      </c>
      <c r="I72" s="233"/>
      <c r="J72" s="232">
        <f aca="true" t="shared" si="141" ref="J72:J87">AL72</f>
        <v>3546.433</v>
      </c>
      <c r="K72" s="232">
        <f aca="true" t="shared" si="142" ref="K72:K87">BF72</f>
        <v>434.02558</v>
      </c>
      <c r="L72" s="263"/>
      <c r="M72" s="232">
        <f t="shared" si="18"/>
        <v>13207.190999999999</v>
      </c>
      <c r="N72" s="232">
        <v>9660.758</v>
      </c>
      <c r="O72" s="232">
        <v>3546.433</v>
      </c>
      <c r="P72" s="232"/>
      <c r="Q72" s="232"/>
      <c r="R72" s="234">
        <f aca="true" t="shared" si="143" ref="R72:R87">S72+T72+U72+V72</f>
        <v>9772.733</v>
      </c>
      <c r="S72" s="232">
        <f>3787.06+5873.698-3434.458</f>
        <v>6226.299999999999</v>
      </c>
      <c r="T72" s="264">
        <v>3546.433</v>
      </c>
      <c r="U72" s="264"/>
      <c r="V72" s="265"/>
      <c r="W72" s="232">
        <f aca="true" t="shared" si="144" ref="W72:W87">X72+Y72+Z72+AA72</f>
        <v>3434.4580000000005</v>
      </c>
      <c r="X72" s="232">
        <f aca="true" t="shared" si="145" ref="X72:AA87">N72-S72</f>
        <v>3434.4580000000005</v>
      </c>
      <c r="Y72" s="232">
        <f t="shared" si="145"/>
        <v>0</v>
      </c>
      <c r="Z72" s="232">
        <f t="shared" si="145"/>
        <v>0</v>
      </c>
      <c r="AA72" s="232">
        <f t="shared" si="145"/>
        <v>0</v>
      </c>
      <c r="AB72" s="232">
        <f aca="true" t="shared" si="146" ref="AB72:AB87">AC72+AD72+AE72+AF72</f>
        <v>3546.433</v>
      </c>
      <c r="AC72" s="232"/>
      <c r="AD72" s="232">
        <f aca="true" t="shared" si="147" ref="AD72:AF87">T72</f>
        <v>3546.433</v>
      </c>
      <c r="AE72" s="232">
        <f t="shared" si="147"/>
        <v>0</v>
      </c>
      <c r="AF72" s="232">
        <f t="shared" si="147"/>
        <v>0</v>
      </c>
      <c r="AG72" s="232">
        <f aca="true" t="shared" si="148" ref="AG72:AG87">AH72+AI72+AJ72+AK72</f>
        <v>0</v>
      </c>
      <c r="AH72" s="232"/>
      <c r="AI72" s="232"/>
      <c r="AJ72" s="232"/>
      <c r="AK72" s="236"/>
      <c r="AL72" s="234">
        <f aca="true" t="shared" si="149" ref="AL72:AL87">AM72+AN72+AO72+AP72</f>
        <v>3546.433</v>
      </c>
      <c r="AM72" s="232"/>
      <c r="AN72" s="232">
        <f aca="true" t="shared" si="150" ref="AN72:AN87">AD72</f>
        <v>3546.433</v>
      </c>
      <c r="AO72" s="232"/>
      <c r="AP72" s="235"/>
      <c r="AQ72" s="232">
        <f>AR72+AS72+AT72+AU72</f>
        <v>3085.3966</v>
      </c>
      <c r="AR72" s="232"/>
      <c r="AS72" s="232">
        <f>3085.3966</f>
        <v>3085.3966</v>
      </c>
      <c r="AT72" s="232"/>
      <c r="AU72" s="232"/>
      <c r="AV72" s="232">
        <f aca="true" t="shared" si="151" ref="AV72:AV87">AW72+AX72+AY72+AZ72</f>
        <v>3085.3966</v>
      </c>
      <c r="AW72" s="232"/>
      <c r="AX72" s="232">
        <f>3085.3966</f>
        <v>3085.3966</v>
      </c>
      <c r="AY72" s="232"/>
      <c r="AZ72" s="232"/>
      <c r="BA72" s="232">
        <f>BB72+BC72+BD72+BE72</f>
        <v>434.02558</v>
      </c>
      <c r="BB72" s="232"/>
      <c r="BC72" s="232">
        <v>434.02558</v>
      </c>
      <c r="BD72" s="232"/>
      <c r="BE72" s="232"/>
      <c r="BF72" s="232">
        <f aca="true" t="shared" si="152" ref="BF72:BF87">BG72+BH72+BI72+BJ72</f>
        <v>434.02558</v>
      </c>
      <c r="BG72" s="232"/>
      <c r="BH72" s="232">
        <v>434.02558</v>
      </c>
      <c r="BI72" s="232"/>
      <c r="BJ72" s="232"/>
      <c r="BK72" s="232">
        <f aca="true" t="shared" si="153" ref="BK72:BK87">BL72+BM72+BN72+BO72</f>
        <v>3519.42218</v>
      </c>
      <c r="BL72" s="232">
        <f aca="true" t="shared" si="154" ref="BL72:BL87">AW72+BG72</f>
        <v>0</v>
      </c>
      <c r="BM72" s="232">
        <f aca="true" t="shared" si="155" ref="BM72:BM87">AX72+BH72</f>
        <v>3519.42218</v>
      </c>
      <c r="BN72" s="232">
        <f aca="true" t="shared" si="156" ref="BN72:BN87">AY72+BI72</f>
        <v>0</v>
      </c>
      <c r="BO72" s="232">
        <f aca="true" t="shared" si="157" ref="BO72:BO87">AZ72+BJ72</f>
        <v>0</v>
      </c>
      <c r="BP72" s="316">
        <f aca="true" t="shared" si="158" ref="BP72:BP87">BQ72+BR72+BS72+BT72</f>
        <v>461.03639999999996</v>
      </c>
      <c r="BQ72" s="317">
        <f aca="true" t="shared" si="159" ref="BQ72:BQ87">AM72-AW72</f>
        <v>0</v>
      </c>
      <c r="BR72" s="317">
        <f aca="true" t="shared" si="160" ref="BR72:BR87">AN72-AX72</f>
        <v>461.03639999999996</v>
      </c>
      <c r="BS72" s="317">
        <f aca="true" t="shared" si="161" ref="BS72:BS87">AO72-AY72</f>
        <v>0</v>
      </c>
      <c r="BT72" s="317">
        <f aca="true" t="shared" si="162" ref="BT72:BT87">AP72-AZ72</f>
        <v>0</v>
      </c>
      <c r="BV72" s="305">
        <v>1</v>
      </c>
      <c r="BW72" s="332" t="s">
        <v>229</v>
      </c>
      <c r="BY72" s="232"/>
      <c r="BZ72" s="232"/>
      <c r="CA72" s="317">
        <v>1</v>
      </c>
      <c r="CB72" s="232"/>
      <c r="CC72" s="232"/>
    </row>
    <row r="73" spans="1:81" s="229" customFormat="1" ht="12.75" customHeight="1">
      <c r="A73" s="230">
        <v>55</v>
      </c>
      <c r="B73" s="239" t="s">
        <v>106</v>
      </c>
      <c r="C73" s="232">
        <f t="shared" si="138"/>
        <v>4485.227</v>
      </c>
      <c r="D73" s="233"/>
      <c r="E73" s="232">
        <f t="shared" si="139"/>
        <v>4485.227</v>
      </c>
      <c r="F73" s="233"/>
      <c r="G73" s="232"/>
      <c r="H73" s="232">
        <f t="shared" si="140"/>
        <v>5201.505999999999</v>
      </c>
      <c r="I73" s="233"/>
      <c r="J73" s="232">
        <f t="shared" si="141"/>
        <v>4485.227</v>
      </c>
      <c r="K73" s="232">
        <f t="shared" si="142"/>
        <v>716.279</v>
      </c>
      <c r="L73" s="240"/>
      <c r="M73" s="232">
        <f t="shared" si="18"/>
        <v>4485.227</v>
      </c>
      <c r="N73" s="232"/>
      <c r="O73" s="232">
        <f>945.227+3240</f>
        <v>4185.227</v>
      </c>
      <c r="P73" s="232"/>
      <c r="Q73" s="232">
        <v>300</v>
      </c>
      <c r="R73" s="234">
        <f t="shared" si="143"/>
        <v>4485.227</v>
      </c>
      <c r="S73" s="232"/>
      <c r="T73" s="232">
        <f>945.227+3240</f>
        <v>4185.227</v>
      </c>
      <c r="U73" s="232"/>
      <c r="V73" s="235">
        <v>300</v>
      </c>
      <c r="W73" s="232">
        <f t="shared" si="144"/>
        <v>0</v>
      </c>
      <c r="X73" s="232">
        <f t="shared" si="145"/>
        <v>0</v>
      </c>
      <c r="Y73" s="232">
        <f t="shared" si="145"/>
        <v>0</v>
      </c>
      <c r="Z73" s="232">
        <f t="shared" si="145"/>
        <v>0</v>
      </c>
      <c r="AA73" s="232">
        <f t="shared" si="145"/>
        <v>0</v>
      </c>
      <c r="AB73" s="232">
        <f t="shared" si="146"/>
        <v>4485.227</v>
      </c>
      <c r="AC73" s="232"/>
      <c r="AD73" s="232">
        <f t="shared" si="147"/>
        <v>4185.227</v>
      </c>
      <c r="AE73" s="232">
        <f t="shared" si="147"/>
        <v>0</v>
      </c>
      <c r="AF73" s="232">
        <f t="shared" si="147"/>
        <v>300</v>
      </c>
      <c r="AG73" s="232">
        <f t="shared" si="148"/>
        <v>0</v>
      </c>
      <c r="AH73" s="232"/>
      <c r="AI73" s="232"/>
      <c r="AJ73" s="232"/>
      <c r="AK73" s="236"/>
      <c r="AL73" s="234">
        <f t="shared" si="149"/>
        <v>4485.227</v>
      </c>
      <c r="AM73" s="232"/>
      <c r="AN73" s="232">
        <f t="shared" si="150"/>
        <v>4185.227</v>
      </c>
      <c r="AO73" s="232"/>
      <c r="AP73" s="235">
        <f aca="true" t="shared" si="163" ref="AP73:AP87">AF73</f>
        <v>300</v>
      </c>
      <c r="AQ73" s="232">
        <f>AR73+AS73+AT73+AU73</f>
        <v>4485.227</v>
      </c>
      <c r="AR73" s="232"/>
      <c r="AS73" s="232">
        <f>316.8301+748.49435+131.00612+562.7086+1480.96083+945.227</f>
        <v>4185.227</v>
      </c>
      <c r="AT73" s="232"/>
      <c r="AU73" s="232">
        <v>300</v>
      </c>
      <c r="AV73" s="232">
        <f t="shared" si="151"/>
        <v>4485.227</v>
      </c>
      <c r="AW73" s="232"/>
      <c r="AX73" s="232">
        <f>316.8301+748.49435+131.00612+562.7086+1480.96083+945.227</f>
        <v>4185.227</v>
      </c>
      <c r="AY73" s="232"/>
      <c r="AZ73" s="232">
        <v>300</v>
      </c>
      <c r="BA73" s="232">
        <f>BB73+BC73+BD73+BE73</f>
        <v>716.279</v>
      </c>
      <c r="BB73" s="232"/>
      <c r="BC73" s="232">
        <v>637.30324</v>
      </c>
      <c r="BD73" s="232"/>
      <c r="BE73" s="232">
        <v>78.97576</v>
      </c>
      <c r="BF73" s="232">
        <f t="shared" si="152"/>
        <v>716.279</v>
      </c>
      <c r="BG73" s="232"/>
      <c r="BH73" s="232">
        <v>637.30324</v>
      </c>
      <c r="BI73" s="232"/>
      <c r="BJ73" s="232">
        <v>78.97576</v>
      </c>
      <c r="BK73" s="232">
        <f t="shared" si="153"/>
        <v>5201.506</v>
      </c>
      <c r="BL73" s="232">
        <f t="shared" si="154"/>
        <v>0</v>
      </c>
      <c r="BM73" s="232">
        <f t="shared" si="155"/>
        <v>4822.53024</v>
      </c>
      <c r="BN73" s="232">
        <f t="shared" si="156"/>
        <v>0</v>
      </c>
      <c r="BO73" s="232">
        <f t="shared" si="157"/>
        <v>378.97576</v>
      </c>
      <c r="BP73" s="316">
        <f t="shared" si="158"/>
        <v>0</v>
      </c>
      <c r="BQ73" s="317">
        <f t="shared" si="159"/>
        <v>0</v>
      </c>
      <c r="BR73" s="317">
        <f t="shared" si="160"/>
        <v>0</v>
      </c>
      <c r="BS73" s="317">
        <f t="shared" si="161"/>
        <v>0</v>
      </c>
      <c r="BT73" s="317">
        <f t="shared" si="162"/>
        <v>0</v>
      </c>
      <c r="BU73" s="229">
        <v>1</v>
      </c>
      <c r="BV73" s="305"/>
      <c r="BW73" s="331" t="s">
        <v>228</v>
      </c>
      <c r="BY73" s="232"/>
      <c r="BZ73" s="232">
        <v>1</v>
      </c>
      <c r="CA73" s="317"/>
      <c r="CB73" s="232"/>
      <c r="CC73" s="232"/>
    </row>
    <row r="74" spans="1:81" s="229" customFormat="1" ht="15" customHeight="1" hidden="1">
      <c r="A74" s="230"/>
      <c r="B74" s="239" t="s">
        <v>107</v>
      </c>
      <c r="C74" s="232">
        <f t="shared" si="138"/>
        <v>0</v>
      </c>
      <c r="D74" s="233"/>
      <c r="E74" s="232">
        <f t="shared" si="139"/>
        <v>0</v>
      </c>
      <c r="F74" s="233"/>
      <c r="G74" s="232"/>
      <c r="H74" s="232">
        <f t="shared" si="140"/>
        <v>0</v>
      </c>
      <c r="I74" s="233"/>
      <c r="J74" s="232">
        <f t="shared" si="141"/>
        <v>0</v>
      </c>
      <c r="K74" s="232">
        <f t="shared" si="142"/>
        <v>0</v>
      </c>
      <c r="L74" s="240"/>
      <c r="M74" s="232"/>
      <c r="N74" s="232"/>
      <c r="O74" s="232"/>
      <c r="P74" s="232"/>
      <c r="Q74" s="232"/>
      <c r="R74" s="234">
        <f t="shared" si="143"/>
        <v>0</v>
      </c>
      <c r="S74" s="232"/>
      <c r="T74" s="232"/>
      <c r="U74" s="232"/>
      <c r="V74" s="235"/>
      <c r="W74" s="232">
        <f t="shared" si="144"/>
        <v>0</v>
      </c>
      <c r="X74" s="232">
        <f t="shared" si="145"/>
        <v>0</v>
      </c>
      <c r="Y74" s="232">
        <f t="shared" si="145"/>
        <v>0</v>
      </c>
      <c r="Z74" s="232">
        <f t="shared" si="145"/>
        <v>0</v>
      </c>
      <c r="AA74" s="232">
        <f t="shared" si="145"/>
        <v>0</v>
      </c>
      <c r="AB74" s="232">
        <f t="shared" si="146"/>
        <v>0</v>
      </c>
      <c r="AC74" s="232"/>
      <c r="AD74" s="232">
        <f t="shared" si="147"/>
        <v>0</v>
      </c>
      <c r="AE74" s="232">
        <f t="shared" si="147"/>
        <v>0</v>
      </c>
      <c r="AF74" s="232">
        <f t="shared" si="147"/>
        <v>0</v>
      </c>
      <c r="AG74" s="232">
        <f t="shared" si="148"/>
        <v>0</v>
      </c>
      <c r="AH74" s="232"/>
      <c r="AI74" s="232"/>
      <c r="AJ74" s="232"/>
      <c r="AK74" s="236"/>
      <c r="AL74" s="234"/>
      <c r="AM74" s="232"/>
      <c r="AN74" s="232"/>
      <c r="AO74" s="232"/>
      <c r="AP74" s="235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>
        <f t="shared" si="153"/>
        <v>0</v>
      </c>
      <c r="BL74" s="232">
        <f t="shared" si="154"/>
        <v>0</v>
      </c>
      <c r="BM74" s="232">
        <f t="shared" si="155"/>
        <v>0</v>
      </c>
      <c r="BN74" s="232">
        <f t="shared" si="156"/>
        <v>0</v>
      </c>
      <c r="BO74" s="232">
        <f t="shared" si="157"/>
        <v>0</v>
      </c>
      <c r="BP74" s="316">
        <f t="shared" si="158"/>
        <v>0</v>
      </c>
      <c r="BQ74" s="317">
        <f t="shared" si="159"/>
        <v>0</v>
      </c>
      <c r="BR74" s="317">
        <f t="shared" si="160"/>
        <v>0</v>
      </c>
      <c r="BS74" s="317">
        <f t="shared" si="161"/>
        <v>0</v>
      </c>
      <c r="BT74" s="317">
        <f t="shared" si="162"/>
        <v>0</v>
      </c>
      <c r="BV74" s="305"/>
      <c r="BW74" s="332"/>
      <c r="BY74" s="232"/>
      <c r="BZ74" s="232"/>
      <c r="CA74" s="317"/>
      <c r="CB74" s="232"/>
      <c r="CC74" s="232"/>
    </row>
    <row r="75" spans="1:81" s="229" customFormat="1" ht="21.75" customHeight="1">
      <c r="A75" s="261">
        <v>56</v>
      </c>
      <c r="B75" s="239" t="s">
        <v>108</v>
      </c>
      <c r="C75" s="232">
        <f t="shared" si="138"/>
        <v>1200.212</v>
      </c>
      <c r="D75" s="233"/>
      <c r="E75" s="232">
        <f t="shared" si="139"/>
        <v>1200.212</v>
      </c>
      <c r="F75" s="233"/>
      <c r="G75" s="232"/>
      <c r="H75" s="232">
        <f t="shared" si="140"/>
        <v>1256.112</v>
      </c>
      <c r="I75" s="233"/>
      <c r="J75" s="232">
        <f t="shared" si="141"/>
        <v>1200.212</v>
      </c>
      <c r="K75" s="232">
        <f t="shared" si="142"/>
        <v>55.9</v>
      </c>
      <c r="L75" s="240"/>
      <c r="M75" s="232">
        <f t="shared" si="18"/>
        <v>1200.212</v>
      </c>
      <c r="N75" s="232"/>
      <c r="O75" s="232">
        <v>1200.212</v>
      </c>
      <c r="P75" s="232"/>
      <c r="Q75" s="232"/>
      <c r="R75" s="234">
        <f t="shared" si="143"/>
        <v>1200.212</v>
      </c>
      <c r="S75" s="232"/>
      <c r="T75" s="232">
        <f>642.648+557.564</f>
        <v>1200.212</v>
      </c>
      <c r="U75" s="232"/>
      <c r="V75" s="235"/>
      <c r="W75" s="232">
        <f t="shared" si="144"/>
        <v>0</v>
      </c>
      <c r="X75" s="232">
        <f t="shared" si="145"/>
        <v>0</v>
      </c>
      <c r="Y75" s="232">
        <f t="shared" si="145"/>
        <v>0</v>
      </c>
      <c r="Z75" s="232">
        <f t="shared" si="145"/>
        <v>0</v>
      </c>
      <c r="AA75" s="232">
        <f t="shared" si="145"/>
        <v>0</v>
      </c>
      <c r="AB75" s="232">
        <f t="shared" si="146"/>
        <v>1200.212</v>
      </c>
      <c r="AC75" s="232"/>
      <c r="AD75" s="232">
        <f t="shared" si="147"/>
        <v>1200.212</v>
      </c>
      <c r="AE75" s="232">
        <f t="shared" si="147"/>
        <v>0</v>
      </c>
      <c r="AF75" s="232">
        <f t="shared" si="147"/>
        <v>0</v>
      </c>
      <c r="AG75" s="232">
        <f t="shared" si="148"/>
        <v>0</v>
      </c>
      <c r="AH75" s="232"/>
      <c r="AI75" s="232"/>
      <c r="AJ75" s="232"/>
      <c r="AK75" s="236"/>
      <c r="AL75" s="234">
        <f t="shared" si="149"/>
        <v>1200.212</v>
      </c>
      <c r="AM75" s="232"/>
      <c r="AN75" s="232">
        <f t="shared" si="150"/>
        <v>1200.212</v>
      </c>
      <c r="AO75" s="232"/>
      <c r="AP75" s="235"/>
      <c r="AQ75" s="232">
        <f>AR75+AS75+AT75+AU75</f>
        <v>1061.452</v>
      </c>
      <c r="AR75" s="232"/>
      <c r="AS75" s="232">
        <f>1061.452</f>
        <v>1061.452</v>
      </c>
      <c r="AT75" s="232"/>
      <c r="AU75" s="232"/>
      <c r="AV75" s="232">
        <f t="shared" si="151"/>
        <v>1061.452</v>
      </c>
      <c r="AW75" s="232"/>
      <c r="AX75" s="232">
        <f>1061.452</f>
        <v>1061.452</v>
      </c>
      <c r="AY75" s="232"/>
      <c r="AZ75" s="232"/>
      <c r="BA75" s="232">
        <f>BB75+BC75+BD75+BE75</f>
        <v>55.9</v>
      </c>
      <c r="BB75" s="232"/>
      <c r="BC75" s="232">
        <v>55.9</v>
      </c>
      <c r="BD75" s="232"/>
      <c r="BE75" s="232"/>
      <c r="BF75" s="232">
        <f t="shared" si="152"/>
        <v>55.9</v>
      </c>
      <c r="BG75" s="232"/>
      <c r="BH75" s="232">
        <v>55.9</v>
      </c>
      <c r="BI75" s="232"/>
      <c r="BJ75" s="232"/>
      <c r="BK75" s="232">
        <f t="shared" si="153"/>
        <v>1117.352</v>
      </c>
      <c r="BL75" s="232">
        <f t="shared" si="154"/>
        <v>0</v>
      </c>
      <c r="BM75" s="232">
        <f t="shared" si="155"/>
        <v>1117.352</v>
      </c>
      <c r="BN75" s="232">
        <f t="shared" si="156"/>
        <v>0</v>
      </c>
      <c r="BO75" s="232">
        <f t="shared" si="157"/>
        <v>0</v>
      </c>
      <c r="BP75" s="316">
        <f t="shared" si="158"/>
        <v>138.76</v>
      </c>
      <c r="BQ75" s="317">
        <f t="shared" si="159"/>
        <v>0</v>
      </c>
      <c r="BR75" s="317">
        <f t="shared" si="160"/>
        <v>138.76</v>
      </c>
      <c r="BS75" s="317">
        <f t="shared" si="161"/>
        <v>0</v>
      </c>
      <c r="BT75" s="317">
        <f t="shared" si="162"/>
        <v>0</v>
      </c>
      <c r="BU75" s="229">
        <v>1</v>
      </c>
      <c r="BV75" s="305"/>
      <c r="BW75" s="331" t="s">
        <v>263</v>
      </c>
      <c r="BY75" s="232">
        <v>138.8</v>
      </c>
      <c r="BZ75" s="232">
        <v>1</v>
      </c>
      <c r="CA75" s="317"/>
      <c r="CB75" s="232"/>
      <c r="CC75" s="232"/>
    </row>
    <row r="76" spans="1:81" s="229" customFormat="1" ht="13.5" customHeight="1">
      <c r="A76" s="230">
        <v>57</v>
      </c>
      <c r="B76" s="239" t="s">
        <v>109</v>
      </c>
      <c r="C76" s="232">
        <f t="shared" si="138"/>
        <v>4409.448</v>
      </c>
      <c r="D76" s="233"/>
      <c r="E76" s="232">
        <f t="shared" si="139"/>
        <v>4409.448</v>
      </c>
      <c r="F76" s="233"/>
      <c r="G76" s="232"/>
      <c r="H76" s="232">
        <f t="shared" si="140"/>
        <v>4580.02537</v>
      </c>
      <c r="I76" s="233"/>
      <c r="J76" s="232">
        <f t="shared" si="141"/>
        <v>4409.448</v>
      </c>
      <c r="K76" s="232">
        <f t="shared" si="142"/>
        <v>170.57737</v>
      </c>
      <c r="L76" s="240"/>
      <c r="M76" s="232">
        <f aca="true" t="shared" si="164" ref="M76:M141">N76+O76+P76+Q76</f>
        <v>4409.448</v>
      </c>
      <c r="N76" s="232"/>
      <c r="O76" s="232"/>
      <c r="P76" s="232">
        <f>4651.667-242.219</f>
        <v>4409.448</v>
      </c>
      <c r="Q76" s="232"/>
      <c r="R76" s="234">
        <f t="shared" si="143"/>
        <v>4409.448</v>
      </c>
      <c r="S76" s="232"/>
      <c r="T76" s="232"/>
      <c r="U76" s="232">
        <v>4409.448</v>
      </c>
      <c r="V76" s="235"/>
      <c r="W76" s="232">
        <f t="shared" si="144"/>
        <v>0</v>
      </c>
      <c r="X76" s="232">
        <f t="shared" si="145"/>
        <v>0</v>
      </c>
      <c r="Y76" s="232">
        <f t="shared" si="145"/>
        <v>0</v>
      </c>
      <c r="Z76" s="232">
        <f t="shared" si="145"/>
        <v>0</v>
      </c>
      <c r="AA76" s="232">
        <f t="shared" si="145"/>
        <v>0</v>
      </c>
      <c r="AB76" s="232">
        <f t="shared" si="146"/>
        <v>4409.448</v>
      </c>
      <c r="AC76" s="232"/>
      <c r="AD76" s="232">
        <f t="shared" si="147"/>
        <v>0</v>
      </c>
      <c r="AE76" s="232">
        <f t="shared" si="147"/>
        <v>4409.448</v>
      </c>
      <c r="AF76" s="232">
        <f t="shared" si="147"/>
        <v>0</v>
      </c>
      <c r="AG76" s="232">
        <f t="shared" si="148"/>
        <v>0</v>
      </c>
      <c r="AH76" s="232"/>
      <c r="AI76" s="232"/>
      <c r="AJ76" s="232"/>
      <c r="AK76" s="236"/>
      <c r="AL76" s="234">
        <f t="shared" si="149"/>
        <v>4409.448</v>
      </c>
      <c r="AM76" s="232"/>
      <c r="AN76" s="232"/>
      <c r="AO76" s="232">
        <f>AE76</f>
        <v>4409.448</v>
      </c>
      <c r="AP76" s="235"/>
      <c r="AQ76" s="232">
        <f>AR76+AS76+AT76+AU76</f>
        <v>3240.9379999999996</v>
      </c>
      <c r="AR76" s="232"/>
      <c r="AS76" s="232"/>
      <c r="AT76" s="232">
        <f>1330.866+1320.704+589.368</f>
        <v>3240.9379999999996</v>
      </c>
      <c r="AU76" s="232"/>
      <c r="AV76" s="232">
        <f t="shared" si="151"/>
        <v>3240.9379999999996</v>
      </c>
      <c r="AW76" s="232"/>
      <c r="AX76" s="232"/>
      <c r="AY76" s="232">
        <f>1330.866+1320.704+589.368</f>
        <v>3240.9379999999996</v>
      </c>
      <c r="AZ76" s="232"/>
      <c r="BA76" s="232">
        <f>BB76+BC76+BD76+BE76</f>
        <v>170.57737</v>
      </c>
      <c r="BB76" s="232"/>
      <c r="BC76" s="232"/>
      <c r="BD76" s="232">
        <v>170.57737</v>
      </c>
      <c r="BE76" s="232"/>
      <c r="BF76" s="232">
        <f t="shared" si="152"/>
        <v>170.57737</v>
      </c>
      <c r="BG76" s="232"/>
      <c r="BH76" s="232"/>
      <c r="BI76" s="232">
        <v>170.57737</v>
      </c>
      <c r="BJ76" s="232"/>
      <c r="BK76" s="232">
        <f t="shared" si="153"/>
        <v>3411.5153699999996</v>
      </c>
      <c r="BL76" s="232">
        <f t="shared" si="154"/>
        <v>0</v>
      </c>
      <c r="BM76" s="232">
        <f t="shared" si="155"/>
        <v>0</v>
      </c>
      <c r="BN76" s="232">
        <f t="shared" si="156"/>
        <v>3411.5153699999996</v>
      </c>
      <c r="BO76" s="232">
        <f t="shared" si="157"/>
        <v>0</v>
      </c>
      <c r="BP76" s="316">
        <f t="shared" si="158"/>
        <v>1168.5100000000007</v>
      </c>
      <c r="BQ76" s="317">
        <f t="shared" si="159"/>
        <v>0</v>
      </c>
      <c r="BR76" s="317">
        <f t="shared" si="160"/>
        <v>0</v>
      </c>
      <c r="BS76" s="317">
        <f t="shared" si="161"/>
        <v>1168.5100000000007</v>
      </c>
      <c r="BT76" s="317">
        <f t="shared" si="162"/>
        <v>0</v>
      </c>
      <c r="BU76" s="327"/>
      <c r="BV76" s="328">
        <v>1</v>
      </c>
      <c r="BW76" s="331" t="s">
        <v>228</v>
      </c>
      <c r="BY76" s="232"/>
      <c r="BZ76" s="232">
        <v>1</v>
      </c>
      <c r="CA76" s="317"/>
      <c r="CB76" s="232"/>
      <c r="CC76" s="232"/>
    </row>
    <row r="77" spans="1:81" s="229" customFormat="1" ht="15" customHeight="1" hidden="1">
      <c r="A77" s="230"/>
      <c r="B77" s="239" t="s">
        <v>110</v>
      </c>
      <c r="C77" s="232">
        <f t="shared" si="138"/>
        <v>0</v>
      </c>
      <c r="D77" s="233"/>
      <c r="E77" s="232">
        <f t="shared" si="139"/>
        <v>0</v>
      </c>
      <c r="F77" s="233"/>
      <c r="G77" s="232"/>
      <c r="H77" s="232">
        <f t="shared" si="140"/>
        <v>0</v>
      </c>
      <c r="I77" s="233"/>
      <c r="J77" s="232">
        <f t="shared" si="141"/>
        <v>0</v>
      </c>
      <c r="K77" s="232">
        <f t="shared" si="142"/>
        <v>0</v>
      </c>
      <c r="L77" s="240"/>
      <c r="M77" s="232"/>
      <c r="N77" s="232"/>
      <c r="O77" s="232"/>
      <c r="P77" s="232"/>
      <c r="Q77" s="232"/>
      <c r="R77" s="234">
        <f t="shared" si="143"/>
        <v>0</v>
      </c>
      <c r="S77" s="232"/>
      <c r="T77" s="232"/>
      <c r="U77" s="232"/>
      <c r="V77" s="235"/>
      <c r="W77" s="232">
        <f t="shared" si="144"/>
        <v>0</v>
      </c>
      <c r="X77" s="232">
        <f t="shared" si="145"/>
        <v>0</v>
      </c>
      <c r="Y77" s="232">
        <f t="shared" si="145"/>
        <v>0</v>
      </c>
      <c r="Z77" s="232">
        <f t="shared" si="145"/>
        <v>0</v>
      </c>
      <c r="AA77" s="232">
        <f t="shared" si="145"/>
        <v>0</v>
      </c>
      <c r="AB77" s="232">
        <f t="shared" si="146"/>
        <v>0</v>
      </c>
      <c r="AC77" s="232"/>
      <c r="AD77" s="232">
        <f t="shared" si="147"/>
        <v>0</v>
      </c>
      <c r="AE77" s="232">
        <f t="shared" si="147"/>
        <v>0</v>
      </c>
      <c r="AF77" s="232">
        <f t="shared" si="147"/>
        <v>0</v>
      </c>
      <c r="AG77" s="232">
        <f t="shared" si="148"/>
        <v>0</v>
      </c>
      <c r="AH77" s="232"/>
      <c r="AI77" s="232"/>
      <c r="AJ77" s="232"/>
      <c r="AK77" s="236"/>
      <c r="AL77" s="234">
        <f t="shared" si="149"/>
        <v>0</v>
      </c>
      <c r="AM77" s="232"/>
      <c r="AN77" s="232"/>
      <c r="AO77" s="232"/>
      <c r="AP77" s="235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>
        <f t="shared" si="153"/>
        <v>0</v>
      </c>
      <c r="BL77" s="232">
        <f t="shared" si="154"/>
        <v>0</v>
      </c>
      <c r="BM77" s="232">
        <f t="shared" si="155"/>
        <v>0</v>
      </c>
      <c r="BN77" s="232">
        <f t="shared" si="156"/>
        <v>0</v>
      </c>
      <c r="BO77" s="232">
        <f t="shared" si="157"/>
        <v>0</v>
      </c>
      <c r="BP77" s="316">
        <f t="shared" si="158"/>
        <v>0</v>
      </c>
      <c r="BQ77" s="317">
        <f t="shared" si="159"/>
        <v>0</v>
      </c>
      <c r="BR77" s="317">
        <f t="shared" si="160"/>
        <v>0</v>
      </c>
      <c r="BS77" s="317">
        <f t="shared" si="161"/>
        <v>0</v>
      </c>
      <c r="BT77" s="317">
        <f t="shared" si="162"/>
        <v>0</v>
      </c>
      <c r="BV77" s="305"/>
      <c r="BW77" s="332"/>
      <c r="BY77" s="232"/>
      <c r="BZ77" s="232"/>
      <c r="CA77" s="317"/>
      <c r="CB77" s="232"/>
      <c r="CC77" s="232"/>
    </row>
    <row r="78" spans="1:81" s="229" customFormat="1" ht="15" customHeight="1">
      <c r="A78" s="230">
        <v>58</v>
      </c>
      <c r="B78" s="239" t="s">
        <v>111</v>
      </c>
      <c r="C78" s="232">
        <f t="shared" si="138"/>
        <v>1508.505</v>
      </c>
      <c r="D78" s="233"/>
      <c r="E78" s="232">
        <f t="shared" si="139"/>
        <v>1508.505</v>
      </c>
      <c r="F78" s="233"/>
      <c r="G78" s="232"/>
      <c r="H78" s="232">
        <f t="shared" si="140"/>
        <v>1774.6840700000002</v>
      </c>
      <c r="I78" s="233"/>
      <c r="J78" s="232">
        <f t="shared" si="141"/>
        <v>1508.505</v>
      </c>
      <c r="K78" s="232">
        <f t="shared" si="142"/>
        <v>266.17907</v>
      </c>
      <c r="L78" s="240"/>
      <c r="M78" s="232">
        <f t="shared" si="164"/>
        <v>1508.505</v>
      </c>
      <c r="N78" s="232"/>
      <c r="O78" s="232">
        <f>861.886+646.619</f>
        <v>1508.505</v>
      </c>
      <c r="P78" s="232"/>
      <c r="Q78" s="232"/>
      <c r="R78" s="234">
        <f t="shared" si="143"/>
        <v>1508.505</v>
      </c>
      <c r="S78" s="232"/>
      <c r="T78" s="232">
        <f>861.886+646.619</f>
        <v>1508.505</v>
      </c>
      <c r="U78" s="232"/>
      <c r="V78" s="235"/>
      <c r="W78" s="232">
        <f t="shared" si="144"/>
        <v>0</v>
      </c>
      <c r="X78" s="232">
        <f t="shared" si="145"/>
        <v>0</v>
      </c>
      <c r="Y78" s="232">
        <f t="shared" si="145"/>
        <v>0</v>
      </c>
      <c r="Z78" s="232">
        <f t="shared" si="145"/>
        <v>0</v>
      </c>
      <c r="AA78" s="232">
        <f t="shared" si="145"/>
        <v>0</v>
      </c>
      <c r="AB78" s="232">
        <f t="shared" si="146"/>
        <v>1508.505</v>
      </c>
      <c r="AC78" s="232"/>
      <c r="AD78" s="232">
        <f t="shared" si="147"/>
        <v>1508.505</v>
      </c>
      <c r="AE78" s="232">
        <f t="shared" si="147"/>
        <v>0</v>
      </c>
      <c r="AF78" s="232">
        <f t="shared" si="147"/>
        <v>0</v>
      </c>
      <c r="AG78" s="232">
        <f t="shared" si="148"/>
        <v>0</v>
      </c>
      <c r="AH78" s="232"/>
      <c r="AI78" s="232"/>
      <c r="AJ78" s="232"/>
      <c r="AK78" s="236"/>
      <c r="AL78" s="234">
        <f t="shared" si="149"/>
        <v>1508.505</v>
      </c>
      <c r="AM78" s="232"/>
      <c r="AN78" s="232">
        <f t="shared" si="150"/>
        <v>1508.505</v>
      </c>
      <c r="AO78" s="232"/>
      <c r="AP78" s="235"/>
      <c r="AQ78" s="232">
        <f>AR78+AS78+AT78+AU78</f>
        <v>1508.505</v>
      </c>
      <c r="AR78" s="232"/>
      <c r="AS78" s="232">
        <f>646.619+861.886</f>
        <v>1508.505</v>
      </c>
      <c r="AT78" s="232"/>
      <c r="AU78" s="232"/>
      <c r="AV78" s="232">
        <f t="shared" si="151"/>
        <v>1508.505</v>
      </c>
      <c r="AW78" s="232"/>
      <c r="AX78" s="232">
        <f>646.619+861.886</f>
        <v>1508.505</v>
      </c>
      <c r="AY78" s="232"/>
      <c r="AZ78" s="232"/>
      <c r="BA78" s="232">
        <f>BB78+BC78+BD78+BE78</f>
        <v>266.17907</v>
      </c>
      <c r="BB78" s="232"/>
      <c r="BC78" s="232">
        <v>266.17907</v>
      </c>
      <c r="BD78" s="232"/>
      <c r="BE78" s="232"/>
      <c r="BF78" s="232">
        <f t="shared" si="152"/>
        <v>266.17907</v>
      </c>
      <c r="BG78" s="232"/>
      <c r="BH78" s="232">
        <v>266.17907</v>
      </c>
      <c r="BI78" s="232"/>
      <c r="BJ78" s="232"/>
      <c r="BK78" s="232">
        <f t="shared" si="153"/>
        <v>1774.6840700000002</v>
      </c>
      <c r="BL78" s="232">
        <f t="shared" si="154"/>
        <v>0</v>
      </c>
      <c r="BM78" s="232">
        <f t="shared" si="155"/>
        <v>1774.6840700000002</v>
      </c>
      <c r="BN78" s="232">
        <f t="shared" si="156"/>
        <v>0</v>
      </c>
      <c r="BO78" s="232">
        <f t="shared" si="157"/>
        <v>0</v>
      </c>
      <c r="BP78" s="316">
        <f t="shared" si="158"/>
        <v>0</v>
      </c>
      <c r="BQ78" s="317">
        <f t="shared" si="159"/>
        <v>0</v>
      </c>
      <c r="BR78" s="317">
        <f t="shared" si="160"/>
        <v>0</v>
      </c>
      <c r="BS78" s="317">
        <f t="shared" si="161"/>
        <v>0</v>
      </c>
      <c r="BT78" s="317">
        <f t="shared" si="162"/>
        <v>0</v>
      </c>
      <c r="BU78" s="229">
        <v>1</v>
      </c>
      <c r="BV78" s="305"/>
      <c r="BW78" s="331" t="s">
        <v>228</v>
      </c>
      <c r="BY78" s="232"/>
      <c r="BZ78" s="232">
        <v>1</v>
      </c>
      <c r="CA78" s="317"/>
      <c r="CB78" s="232"/>
      <c r="CC78" s="232"/>
    </row>
    <row r="79" spans="1:81" s="229" customFormat="1" ht="21.75" customHeight="1">
      <c r="A79" s="230">
        <v>59</v>
      </c>
      <c r="B79" s="239" t="s">
        <v>112</v>
      </c>
      <c r="C79" s="232">
        <f t="shared" si="138"/>
        <v>2640.8909999999996</v>
      </c>
      <c r="D79" s="233"/>
      <c r="E79" s="232">
        <f t="shared" si="139"/>
        <v>2640.8909999999996</v>
      </c>
      <c r="F79" s="233"/>
      <c r="G79" s="232"/>
      <c r="H79" s="232">
        <f t="shared" si="140"/>
        <v>2854.7661200000002</v>
      </c>
      <c r="I79" s="233"/>
      <c r="J79" s="232">
        <f t="shared" si="141"/>
        <v>2640.891</v>
      </c>
      <c r="K79" s="232">
        <f t="shared" si="142"/>
        <v>213.87512</v>
      </c>
      <c r="L79" s="240"/>
      <c r="M79" s="232">
        <f t="shared" si="164"/>
        <v>2640.8909999999996</v>
      </c>
      <c r="N79" s="232"/>
      <c r="O79" s="232">
        <v>1867.071</v>
      </c>
      <c r="P79" s="232"/>
      <c r="Q79" s="232">
        <f>1446.357-672.537</f>
        <v>773.8199999999999</v>
      </c>
      <c r="R79" s="234">
        <f t="shared" si="143"/>
        <v>2640.891</v>
      </c>
      <c r="S79" s="232"/>
      <c r="T79" s="232">
        <v>1867.071</v>
      </c>
      <c r="U79" s="232"/>
      <c r="V79" s="235">
        <v>773.82</v>
      </c>
      <c r="W79" s="232">
        <f t="shared" si="144"/>
        <v>0</v>
      </c>
      <c r="X79" s="232">
        <f t="shared" si="145"/>
        <v>0</v>
      </c>
      <c r="Y79" s="232">
        <f t="shared" si="145"/>
        <v>0</v>
      </c>
      <c r="Z79" s="232">
        <f t="shared" si="145"/>
        <v>0</v>
      </c>
      <c r="AA79" s="232">
        <f t="shared" si="145"/>
        <v>0</v>
      </c>
      <c r="AB79" s="232">
        <f t="shared" si="146"/>
        <v>2640.891</v>
      </c>
      <c r="AC79" s="232"/>
      <c r="AD79" s="232">
        <f t="shared" si="147"/>
        <v>1867.071</v>
      </c>
      <c r="AE79" s="232">
        <f t="shared" si="147"/>
        <v>0</v>
      </c>
      <c r="AF79" s="232">
        <f t="shared" si="147"/>
        <v>773.82</v>
      </c>
      <c r="AG79" s="232">
        <f t="shared" si="148"/>
        <v>0</v>
      </c>
      <c r="AH79" s="232"/>
      <c r="AI79" s="232"/>
      <c r="AJ79" s="232"/>
      <c r="AK79" s="236"/>
      <c r="AL79" s="234">
        <f t="shared" si="149"/>
        <v>2640.891</v>
      </c>
      <c r="AM79" s="232"/>
      <c r="AN79" s="232">
        <f t="shared" si="150"/>
        <v>1867.071</v>
      </c>
      <c r="AO79" s="232"/>
      <c r="AP79" s="235">
        <f t="shared" si="163"/>
        <v>773.82</v>
      </c>
      <c r="AQ79" s="232">
        <f>AR79+AS79+AT79+AU79</f>
        <v>2163.002</v>
      </c>
      <c r="AR79" s="232"/>
      <c r="AS79" s="232">
        <f>875.058+711.89</f>
        <v>1586.9479999999999</v>
      </c>
      <c r="AT79" s="232"/>
      <c r="AU79" s="232">
        <f>576.054</f>
        <v>576.054</v>
      </c>
      <c r="AV79" s="232">
        <f t="shared" si="151"/>
        <v>2163.002</v>
      </c>
      <c r="AW79" s="232"/>
      <c r="AX79" s="232">
        <f>875.058+711.89</f>
        <v>1586.9479999999999</v>
      </c>
      <c r="AY79" s="232"/>
      <c r="AZ79" s="232">
        <f>576.054</f>
        <v>576.054</v>
      </c>
      <c r="BA79" s="232">
        <f>BB79+BC79+BD79+BE79</f>
        <v>213.87512</v>
      </c>
      <c r="BB79" s="232"/>
      <c r="BC79" s="232">
        <v>183.55645</v>
      </c>
      <c r="BD79" s="232"/>
      <c r="BE79" s="232">
        <v>30.31867</v>
      </c>
      <c r="BF79" s="232">
        <f t="shared" si="152"/>
        <v>213.87512</v>
      </c>
      <c r="BG79" s="232"/>
      <c r="BH79" s="232">
        <v>183.55645</v>
      </c>
      <c r="BI79" s="232"/>
      <c r="BJ79" s="232">
        <v>30.31867</v>
      </c>
      <c r="BK79" s="232">
        <f t="shared" si="153"/>
        <v>2376.87712</v>
      </c>
      <c r="BL79" s="232">
        <f t="shared" si="154"/>
        <v>0</v>
      </c>
      <c r="BM79" s="232">
        <f t="shared" si="155"/>
        <v>1770.50445</v>
      </c>
      <c r="BN79" s="232">
        <f t="shared" si="156"/>
        <v>0</v>
      </c>
      <c r="BO79" s="232">
        <f t="shared" si="157"/>
        <v>606.37267</v>
      </c>
      <c r="BP79" s="316">
        <f t="shared" si="158"/>
        <v>477.8890000000001</v>
      </c>
      <c r="BQ79" s="317">
        <f t="shared" si="159"/>
        <v>0</v>
      </c>
      <c r="BR79" s="317">
        <f t="shared" si="160"/>
        <v>280.12300000000005</v>
      </c>
      <c r="BS79" s="317">
        <f t="shared" si="161"/>
        <v>0</v>
      </c>
      <c r="BT79" s="317">
        <f t="shared" si="162"/>
        <v>197.76600000000008</v>
      </c>
      <c r="BU79" s="229">
        <v>1</v>
      </c>
      <c r="BV79" s="305"/>
      <c r="BW79" s="331" t="s">
        <v>264</v>
      </c>
      <c r="BY79" s="232">
        <v>477.9</v>
      </c>
      <c r="BZ79" s="232">
        <v>1</v>
      </c>
      <c r="CA79" s="317"/>
      <c r="CB79" s="232"/>
      <c r="CC79" s="232"/>
    </row>
    <row r="80" spans="1:81" s="229" customFormat="1" ht="21.75" customHeight="1">
      <c r="A80" s="230">
        <v>60</v>
      </c>
      <c r="B80" s="239" t="s">
        <v>113</v>
      </c>
      <c r="C80" s="232">
        <f t="shared" si="138"/>
        <v>4011.547</v>
      </c>
      <c r="D80" s="233"/>
      <c r="E80" s="232">
        <f t="shared" si="139"/>
        <v>4011.547</v>
      </c>
      <c r="F80" s="233"/>
      <c r="G80" s="232"/>
      <c r="H80" s="232">
        <f t="shared" si="140"/>
        <v>4215.42734</v>
      </c>
      <c r="I80" s="233"/>
      <c r="J80" s="232">
        <f t="shared" si="141"/>
        <v>4011.547</v>
      </c>
      <c r="K80" s="232">
        <f t="shared" si="142"/>
        <v>203.88034</v>
      </c>
      <c r="L80" s="240"/>
      <c r="M80" s="232">
        <f t="shared" si="164"/>
        <v>4011.547</v>
      </c>
      <c r="N80" s="232"/>
      <c r="O80" s="232">
        <v>3147.965</v>
      </c>
      <c r="P80" s="232"/>
      <c r="Q80" s="232">
        <v>863.582</v>
      </c>
      <c r="R80" s="234">
        <f t="shared" si="143"/>
        <v>4011.547</v>
      </c>
      <c r="S80" s="232"/>
      <c r="T80" s="232">
        <v>3147.965</v>
      </c>
      <c r="U80" s="232"/>
      <c r="V80" s="235">
        <v>863.582</v>
      </c>
      <c r="W80" s="232">
        <f t="shared" si="144"/>
        <v>0</v>
      </c>
      <c r="X80" s="232">
        <f t="shared" si="145"/>
        <v>0</v>
      </c>
      <c r="Y80" s="232">
        <f t="shared" si="145"/>
        <v>0</v>
      </c>
      <c r="Z80" s="232">
        <f t="shared" si="145"/>
        <v>0</v>
      </c>
      <c r="AA80" s="232">
        <f t="shared" si="145"/>
        <v>0</v>
      </c>
      <c r="AB80" s="232">
        <f t="shared" si="146"/>
        <v>4011.547</v>
      </c>
      <c r="AC80" s="232"/>
      <c r="AD80" s="232">
        <f t="shared" si="147"/>
        <v>3147.965</v>
      </c>
      <c r="AE80" s="232">
        <f t="shared" si="147"/>
        <v>0</v>
      </c>
      <c r="AF80" s="232">
        <f t="shared" si="147"/>
        <v>863.582</v>
      </c>
      <c r="AG80" s="232">
        <f t="shared" si="148"/>
        <v>0</v>
      </c>
      <c r="AH80" s="232"/>
      <c r="AI80" s="232"/>
      <c r="AJ80" s="232"/>
      <c r="AK80" s="236"/>
      <c r="AL80" s="234">
        <f t="shared" si="149"/>
        <v>4011.547</v>
      </c>
      <c r="AM80" s="232"/>
      <c r="AN80" s="232">
        <f t="shared" si="150"/>
        <v>3147.965</v>
      </c>
      <c r="AO80" s="232"/>
      <c r="AP80" s="235">
        <f t="shared" si="163"/>
        <v>863.582</v>
      </c>
      <c r="AQ80" s="232">
        <f>AR80+AS80+AT80+AU80</f>
        <v>3872.652</v>
      </c>
      <c r="AR80" s="232"/>
      <c r="AS80" s="232">
        <f>636.677+2420.718</f>
        <v>3057.395</v>
      </c>
      <c r="AT80" s="232"/>
      <c r="AU80" s="232">
        <f>815.257</f>
        <v>815.257</v>
      </c>
      <c r="AV80" s="232">
        <f t="shared" si="151"/>
        <v>3872.652</v>
      </c>
      <c r="AW80" s="232"/>
      <c r="AX80" s="232">
        <f>636.677+2420.718</f>
        <v>3057.395</v>
      </c>
      <c r="AY80" s="232"/>
      <c r="AZ80" s="232">
        <f>815.257</f>
        <v>815.257</v>
      </c>
      <c r="BA80" s="232">
        <f>BB80+BC80+BD80+BE80</f>
        <v>203.88034</v>
      </c>
      <c r="BB80" s="232"/>
      <c r="BC80" s="232">
        <v>160.91734</v>
      </c>
      <c r="BD80" s="232"/>
      <c r="BE80" s="232">
        <v>42.963</v>
      </c>
      <c r="BF80" s="232">
        <f t="shared" si="152"/>
        <v>203.88034</v>
      </c>
      <c r="BG80" s="232"/>
      <c r="BH80" s="232">
        <v>160.91734</v>
      </c>
      <c r="BI80" s="232"/>
      <c r="BJ80" s="232">
        <v>42.963</v>
      </c>
      <c r="BK80" s="232">
        <f t="shared" si="153"/>
        <v>4076.5323399999997</v>
      </c>
      <c r="BL80" s="232">
        <f t="shared" si="154"/>
        <v>0</v>
      </c>
      <c r="BM80" s="232">
        <f t="shared" si="155"/>
        <v>3218.31234</v>
      </c>
      <c r="BN80" s="232">
        <f t="shared" si="156"/>
        <v>0</v>
      </c>
      <c r="BO80" s="232">
        <f t="shared" si="157"/>
        <v>858.2199999999999</v>
      </c>
      <c r="BP80" s="316">
        <f t="shared" si="158"/>
        <v>138.8950000000002</v>
      </c>
      <c r="BQ80" s="317">
        <f t="shared" si="159"/>
        <v>0</v>
      </c>
      <c r="BR80" s="317">
        <f t="shared" si="160"/>
        <v>90.57000000000016</v>
      </c>
      <c r="BS80" s="317">
        <f t="shared" si="161"/>
        <v>0</v>
      </c>
      <c r="BT80" s="317">
        <f t="shared" si="162"/>
        <v>48.325000000000045</v>
      </c>
      <c r="BU80" s="229">
        <v>1</v>
      </c>
      <c r="BV80" s="305"/>
      <c r="BW80" s="331" t="s">
        <v>265</v>
      </c>
      <c r="BY80" s="232">
        <v>138.9</v>
      </c>
      <c r="BZ80" s="232">
        <v>1</v>
      </c>
      <c r="CA80" s="317"/>
      <c r="CB80" s="232"/>
      <c r="CC80" s="232"/>
    </row>
    <row r="81" spans="1:81" s="229" customFormat="1" ht="13.5" customHeight="1">
      <c r="A81" s="230">
        <v>61</v>
      </c>
      <c r="B81" s="239" t="s">
        <v>114</v>
      </c>
      <c r="C81" s="232">
        <f t="shared" si="138"/>
        <v>2108.07</v>
      </c>
      <c r="D81" s="233"/>
      <c r="E81" s="232">
        <f t="shared" si="139"/>
        <v>2108.07</v>
      </c>
      <c r="F81" s="233"/>
      <c r="G81" s="232"/>
      <c r="H81" s="232">
        <f t="shared" si="140"/>
        <v>0</v>
      </c>
      <c r="I81" s="233"/>
      <c r="J81" s="232">
        <f t="shared" si="141"/>
        <v>0</v>
      </c>
      <c r="K81" s="232">
        <f t="shared" si="142"/>
        <v>0</v>
      </c>
      <c r="L81" s="240"/>
      <c r="M81" s="232">
        <f t="shared" si="164"/>
        <v>2108.07</v>
      </c>
      <c r="N81" s="232"/>
      <c r="O81" s="232">
        <v>2108.07</v>
      </c>
      <c r="P81" s="232"/>
      <c r="Q81" s="232"/>
      <c r="R81" s="234">
        <f t="shared" si="143"/>
        <v>0</v>
      </c>
      <c r="S81" s="232"/>
      <c r="T81" s="232"/>
      <c r="U81" s="232"/>
      <c r="V81" s="235"/>
      <c r="W81" s="232">
        <f t="shared" si="144"/>
        <v>2108.07</v>
      </c>
      <c r="X81" s="232">
        <f t="shared" si="145"/>
        <v>0</v>
      </c>
      <c r="Y81" s="232">
        <f t="shared" si="145"/>
        <v>2108.07</v>
      </c>
      <c r="Z81" s="232">
        <f t="shared" si="145"/>
        <v>0</v>
      </c>
      <c r="AA81" s="232">
        <f t="shared" si="145"/>
        <v>0</v>
      </c>
      <c r="AB81" s="232">
        <f t="shared" si="146"/>
        <v>0</v>
      </c>
      <c r="AC81" s="232"/>
      <c r="AD81" s="232">
        <f t="shared" si="147"/>
        <v>0</v>
      </c>
      <c r="AE81" s="232">
        <f t="shared" si="147"/>
        <v>0</v>
      </c>
      <c r="AF81" s="232">
        <f t="shared" si="147"/>
        <v>0</v>
      </c>
      <c r="AG81" s="232">
        <f t="shared" si="148"/>
        <v>0</v>
      </c>
      <c r="AH81" s="232"/>
      <c r="AI81" s="232"/>
      <c r="AJ81" s="232"/>
      <c r="AK81" s="236"/>
      <c r="AL81" s="234">
        <f t="shared" si="149"/>
        <v>0</v>
      </c>
      <c r="AM81" s="232"/>
      <c r="AN81" s="232"/>
      <c r="AO81" s="232"/>
      <c r="AP81" s="235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>
        <f t="shared" si="153"/>
        <v>0</v>
      </c>
      <c r="BL81" s="232">
        <f t="shared" si="154"/>
        <v>0</v>
      </c>
      <c r="BM81" s="232">
        <f t="shared" si="155"/>
        <v>0</v>
      </c>
      <c r="BN81" s="232">
        <f t="shared" si="156"/>
        <v>0</v>
      </c>
      <c r="BO81" s="232">
        <f t="shared" si="157"/>
        <v>0</v>
      </c>
      <c r="BP81" s="316">
        <f t="shared" si="158"/>
        <v>0</v>
      </c>
      <c r="BQ81" s="317">
        <f t="shared" si="159"/>
        <v>0</v>
      </c>
      <c r="BR81" s="317">
        <f t="shared" si="160"/>
        <v>0</v>
      </c>
      <c r="BS81" s="317">
        <f t="shared" si="161"/>
        <v>0</v>
      </c>
      <c r="BT81" s="317">
        <f t="shared" si="162"/>
        <v>0</v>
      </c>
      <c r="BV81" s="305">
        <v>1</v>
      </c>
      <c r="BW81" s="332" t="s">
        <v>229</v>
      </c>
      <c r="BY81" s="232"/>
      <c r="BZ81" s="232"/>
      <c r="CA81" s="317">
        <v>1</v>
      </c>
      <c r="CB81" s="232"/>
      <c r="CC81" s="232"/>
    </row>
    <row r="82" spans="1:81" s="229" customFormat="1" ht="13.5" customHeight="1">
      <c r="A82" s="230">
        <v>62</v>
      </c>
      <c r="B82" s="239" t="s">
        <v>115</v>
      </c>
      <c r="C82" s="232">
        <f t="shared" si="138"/>
        <v>1946.941</v>
      </c>
      <c r="D82" s="233"/>
      <c r="E82" s="232">
        <f t="shared" si="139"/>
        <v>1946.941</v>
      </c>
      <c r="F82" s="233"/>
      <c r="G82" s="232"/>
      <c r="H82" s="232">
        <f t="shared" si="140"/>
        <v>1946.941</v>
      </c>
      <c r="I82" s="233"/>
      <c r="J82" s="232">
        <f t="shared" si="141"/>
        <v>1946.941</v>
      </c>
      <c r="K82" s="232">
        <f t="shared" si="142"/>
        <v>0</v>
      </c>
      <c r="L82" s="240"/>
      <c r="M82" s="232">
        <f t="shared" si="164"/>
        <v>1946.941</v>
      </c>
      <c r="N82" s="232"/>
      <c r="O82" s="232">
        <v>1946.941</v>
      </c>
      <c r="P82" s="232"/>
      <c r="Q82" s="232"/>
      <c r="R82" s="234">
        <f t="shared" si="143"/>
        <v>1946.941</v>
      </c>
      <c r="S82" s="232"/>
      <c r="T82" s="232">
        <v>1946.941</v>
      </c>
      <c r="U82" s="232"/>
      <c r="V82" s="235"/>
      <c r="W82" s="232">
        <f t="shared" si="144"/>
        <v>0</v>
      </c>
      <c r="X82" s="232">
        <f t="shared" si="145"/>
        <v>0</v>
      </c>
      <c r="Y82" s="232">
        <f t="shared" si="145"/>
        <v>0</v>
      </c>
      <c r="Z82" s="232">
        <f t="shared" si="145"/>
        <v>0</v>
      </c>
      <c r="AA82" s="232">
        <f t="shared" si="145"/>
        <v>0</v>
      </c>
      <c r="AB82" s="232">
        <f t="shared" si="146"/>
        <v>1946.941</v>
      </c>
      <c r="AC82" s="232"/>
      <c r="AD82" s="232">
        <f t="shared" si="147"/>
        <v>1946.941</v>
      </c>
      <c r="AE82" s="232">
        <f t="shared" si="147"/>
        <v>0</v>
      </c>
      <c r="AF82" s="232">
        <f t="shared" si="147"/>
        <v>0</v>
      </c>
      <c r="AG82" s="232">
        <f t="shared" si="148"/>
        <v>0</v>
      </c>
      <c r="AH82" s="232"/>
      <c r="AI82" s="232"/>
      <c r="AJ82" s="232"/>
      <c r="AK82" s="236"/>
      <c r="AL82" s="234">
        <f t="shared" si="149"/>
        <v>1946.941</v>
      </c>
      <c r="AM82" s="232"/>
      <c r="AN82" s="232">
        <f t="shared" si="150"/>
        <v>1946.941</v>
      </c>
      <c r="AO82" s="232"/>
      <c r="AP82" s="235">
        <f t="shared" si="163"/>
        <v>0</v>
      </c>
      <c r="AQ82" s="232">
        <f aca="true" t="shared" si="165" ref="AQ82:AQ87">AR82+AS82+AT82+AU82</f>
        <v>0</v>
      </c>
      <c r="AR82" s="232"/>
      <c r="AS82" s="232">
        <v>0</v>
      </c>
      <c r="AT82" s="232"/>
      <c r="AU82" s="232"/>
      <c r="AV82" s="232">
        <f t="shared" si="151"/>
        <v>0</v>
      </c>
      <c r="AW82" s="232"/>
      <c r="AX82" s="232">
        <v>0</v>
      </c>
      <c r="AY82" s="232"/>
      <c r="AZ82" s="232"/>
      <c r="BA82" s="232">
        <f aca="true" t="shared" si="166" ref="BA82:BA87">BB82+BC82+BD82+BE82</f>
        <v>0</v>
      </c>
      <c r="BB82" s="232"/>
      <c r="BC82" s="232">
        <v>0</v>
      </c>
      <c r="BD82" s="232"/>
      <c r="BE82" s="232"/>
      <c r="BF82" s="232">
        <f t="shared" si="152"/>
        <v>0</v>
      </c>
      <c r="BG82" s="232"/>
      <c r="BH82" s="232">
        <v>0</v>
      </c>
      <c r="BI82" s="232"/>
      <c r="BJ82" s="232"/>
      <c r="BK82" s="232">
        <f t="shared" si="153"/>
        <v>0</v>
      </c>
      <c r="BL82" s="232">
        <f t="shared" si="154"/>
        <v>0</v>
      </c>
      <c r="BM82" s="232">
        <f t="shared" si="155"/>
        <v>0</v>
      </c>
      <c r="BN82" s="232">
        <f t="shared" si="156"/>
        <v>0</v>
      </c>
      <c r="BO82" s="232">
        <f t="shared" si="157"/>
        <v>0</v>
      </c>
      <c r="BP82" s="316">
        <f t="shared" si="158"/>
        <v>1946.941</v>
      </c>
      <c r="BQ82" s="317">
        <f t="shared" si="159"/>
        <v>0</v>
      </c>
      <c r="BR82" s="317">
        <f t="shared" si="160"/>
        <v>1946.941</v>
      </c>
      <c r="BS82" s="317">
        <f t="shared" si="161"/>
        <v>0</v>
      </c>
      <c r="BT82" s="317">
        <f t="shared" si="162"/>
        <v>0</v>
      </c>
      <c r="BV82" s="305">
        <v>1</v>
      </c>
      <c r="BW82" s="332" t="s">
        <v>229</v>
      </c>
      <c r="BY82" s="232"/>
      <c r="BZ82" s="232"/>
      <c r="CA82" s="317">
        <v>1</v>
      </c>
      <c r="CB82" s="232"/>
      <c r="CC82" s="232"/>
    </row>
    <row r="83" spans="1:81" s="229" customFormat="1" ht="13.5" customHeight="1">
      <c r="A83" s="230">
        <v>63</v>
      </c>
      <c r="B83" s="239" t="s">
        <v>116</v>
      </c>
      <c r="C83" s="232">
        <f t="shared" si="138"/>
        <v>5566.897</v>
      </c>
      <c r="D83" s="233"/>
      <c r="E83" s="232">
        <f t="shared" si="139"/>
        <v>5566.897</v>
      </c>
      <c r="F83" s="233"/>
      <c r="G83" s="232"/>
      <c r="H83" s="232">
        <f t="shared" si="140"/>
        <v>3754.24038</v>
      </c>
      <c r="I83" s="233"/>
      <c r="J83" s="232">
        <f t="shared" si="141"/>
        <v>2701.897</v>
      </c>
      <c r="K83" s="232">
        <f t="shared" si="142"/>
        <v>1052.34338</v>
      </c>
      <c r="L83" s="240"/>
      <c r="M83" s="232">
        <f t="shared" si="164"/>
        <v>5566.897</v>
      </c>
      <c r="N83" s="232">
        <v>2865</v>
      </c>
      <c r="O83" s="232">
        <v>2701.897</v>
      </c>
      <c r="P83" s="232"/>
      <c r="Q83" s="232"/>
      <c r="R83" s="234">
        <f t="shared" si="143"/>
        <v>5423.697</v>
      </c>
      <c r="S83" s="232">
        <f>2865-143.2</f>
        <v>2721.8</v>
      </c>
      <c r="T83" s="232">
        <v>2701.897</v>
      </c>
      <c r="U83" s="232"/>
      <c r="V83" s="235"/>
      <c r="W83" s="232">
        <f t="shared" si="144"/>
        <v>143.19999999999982</v>
      </c>
      <c r="X83" s="232">
        <f t="shared" si="145"/>
        <v>143.19999999999982</v>
      </c>
      <c r="Y83" s="232">
        <f t="shared" si="145"/>
        <v>0</v>
      </c>
      <c r="Z83" s="232">
        <f t="shared" si="145"/>
        <v>0</v>
      </c>
      <c r="AA83" s="232">
        <f t="shared" si="145"/>
        <v>0</v>
      </c>
      <c r="AB83" s="232">
        <f t="shared" si="146"/>
        <v>2701.897</v>
      </c>
      <c r="AC83" s="232"/>
      <c r="AD83" s="232">
        <f t="shared" si="147"/>
        <v>2701.897</v>
      </c>
      <c r="AE83" s="232">
        <f t="shared" si="147"/>
        <v>0</v>
      </c>
      <c r="AF83" s="232">
        <f t="shared" si="147"/>
        <v>0</v>
      </c>
      <c r="AG83" s="232">
        <f t="shared" si="148"/>
        <v>0</v>
      </c>
      <c r="AH83" s="232"/>
      <c r="AI83" s="232"/>
      <c r="AJ83" s="232"/>
      <c r="AK83" s="236"/>
      <c r="AL83" s="234">
        <f t="shared" si="149"/>
        <v>2701.897</v>
      </c>
      <c r="AM83" s="232"/>
      <c r="AN83" s="232">
        <f t="shared" si="150"/>
        <v>2701.897</v>
      </c>
      <c r="AO83" s="232"/>
      <c r="AP83" s="235">
        <f t="shared" si="163"/>
        <v>0</v>
      </c>
      <c r="AQ83" s="232">
        <f t="shared" si="165"/>
        <v>2701.897</v>
      </c>
      <c r="AR83" s="232"/>
      <c r="AS83" s="232">
        <v>2701.897</v>
      </c>
      <c r="AT83" s="232"/>
      <c r="AU83" s="232"/>
      <c r="AV83" s="232">
        <f t="shared" si="151"/>
        <v>2701.897</v>
      </c>
      <c r="AW83" s="232"/>
      <c r="AX83" s="232">
        <v>2701.897</v>
      </c>
      <c r="AY83" s="232"/>
      <c r="AZ83" s="232"/>
      <c r="BA83" s="232">
        <f t="shared" si="166"/>
        <v>1052.34338</v>
      </c>
      <c r="BB83" s="232"/>
      <c r="BC83" s="232">
        <v>1052.34338</v>
      </c>
      <c r="BD83" s="232"/>
      <c r="BE83" s="232"/>
      <c r="BF83" s="232">
        <f t="shared" si="152"/>
        <v>1052.34338</v>
      </c>
      <c r="BG83" s="232"/>
      <c r="BH83" s="232">
        <v>1052.34338</v>
      </c>
      <c r="BI83" s="232"/>
      <c r="BJ83" s="232"/>
      <c r="BK83" s="232">
        <f t="shared" si="153"/>
        <v>3754.24038</v>
      </c>
      <c r="BL83" s="232">
        <f t="shared" si="154"/>
        <v>0</v>
      </c>
      <c r="BM83" s="232">
        <f t="shared" si="155"/>
        <v>3754.24038</v>
      </c>
      <c r="BN83" s="232">
        <f t="shared" si="156"/>
        <v>0</v>
      </c>
      <c r="BO83" s="232">
        <f t="shared" si="157"/>
        <v>0</v>
      </c>
      <c r="BP83" s="316">
        <f t="shared" si="158"/>
        <v>0</v>
      </c>
      <c r="BQ83" s="317">
        <f t="shared" si="159"/>
        <v>0</v>
      </c>
      <c r="BR83" s="317">
        <f t="shared" si="160"/>
        <v>0</v>
      </c>
      <c r="BS83" s="317">
        <f t="shared" si="161"/>
        <v>0</v>
      </c>
      <c r="BT83" s="317">
        <f t="shared" si="162"/>
        <v>0</v>
      </c>
      <c r="BV83" s="305">
        <v>1</v>
      </c>
      <c r="BW83" s="332" t="s">
        <v>229</v>
      </c>
      <c r="BY83" s="232"/>
      <c r="BZ83" s="232"/>
      <c r="CA83" s="317">
        <v>1</v>
      </c>
      <c r="CB83" s="232"/>
      <c r="CC83" s="232"/>
    </row>
    <row r="84" spans="1:81" s="229" customFormat="1" ht="13.5" customHeight="1">
      <c r="A84" s="230">
        <v>64</v>
      </c>
      <c r="B84" s="239" t="s">
        <v>117</v>
      </c>
      <c r="C84" s="232">
        <f t="shared" si="138"/>
        <v>2332.463</v>
      </c>
      <c r="D84" s="233"/>
      <c r="E84" s="232">
        <f t="shared" si="139"/>
        <v>2332.463</v>
      </c>
      <c r="F84" s="233"/>
      <c r="G84" s="232"/>
      <c r="H84" s="232">
        <f t="shared" si="140"/>
        <v>2360.07043</v>
      </c>
      <c r="I84" s="233"/>
      <c r="J84" s="232">
        <f t="shared" si="141"/>
        <v>2332.463</v>
      </c>
      <c r="K84" s="232">
        <f t="shared" si="142"/>
        <v>27.60743</v>
      </c>
      <c r="L84" s="240"/>
      <c r="M84" s="232">
        <f t="shared" si="164"/>
        <v>2332.463</v>
      </c>
      <c r="N84" s="232"/>
      <c r="O84" s="232"/>
      <c r="P84" s="232"/>
      <c r="Q84" s="232">
        <f>125.614+2206.849</f>
        <v>2332.463</v>
      </c>
      <c r="R84" s="234">
        <f t="shared" si="143"/>
        <v>2332.463</v>
      </c>
      <c r="S84" s="232"/>
      <c r="T84" s="232"/>
      <c r="U84" s="232"/>
      <c r="V84" s="235">
        <f>125.614+2206.849</f>
        <v>2332.463</v>
      </c>
      <c r="W84" s="232">
        <f t="shared" si="144"/>
        <v>0</v>
      </c>
      <c r="X84" s="232">
        <f t="shared" si="145"/>
        <v>0</v>
      </c>
      <c r="Y84" s="232">
        <f t="shared" si="145"/>
        <v>0</v>
      </c>
      <c r="Z84" s="232">
        <f t="shared" si="145"/>
        <v>0</v>
      </c>
      <c r="AA84" s="232">
        <f t="shared" si="145"/>
        <v>0</v>
      </c>
      <c r="AB84" s="232">
        <f t="shared" si="146"/>
        <v>2332.463</v>
      </c>
      <c r="AC84" s="232"/>
      <c r="AD84" s="232">
        <f t="shared" si="147"/>
        <v>0</v>
      </c>
      <c r="AE84" s="232">
        <f t="shared" si="147"/>
        <v>0</v>
      </c>
      <c r="AF84" s="232">
        <f t="shared" si="147"/>
        <v>2332.463</v>
      </c>
      <c r="AG84" s="232">
        <f t="shared" si="148"/>
        <v>0</v>
      </c>
      <c r="AH84" s="232"/>
      <c r="AI84" s="232"/>
      <c r="AJ84" s="232"/>
      <c r="AK84" s="236"/>
      <c r="AL84" s="234">
        <f t="shared" si="149"/>
        <v>2332.463</v>
      </c>
      <c r="AM84" s="232"/>
      <c r="AN84" s="232">
        <f t="shared" si="150"/>
        <v>0</v>
      </c>
      <c r="AO84" s="232"/>
      <c r="AP84" s="235">
        <f t="shared" si="163"/>
        <v>2332.463</v>
      </c>
      <c r="AQ84" s="232">
        <f t="shared" si="165"/>
        <v>524.532</v>
      </c>
      <c r="AR84" s="232"/>
      <c r="AS84" s="232"/>
      <c r="AT84" s="232"/>
      <c r="AU84" s="232">
        <f>524.532</f>
        <v>524.532</v>
      </c>
      <c r="AV84" s="232">
        <f t="shared" si="151"/>
        <v>524.532</v>
      </c>
      <c r="AW84" s="232"/>
      <c r="AX84" s="232"/>
      <c r="AY84" s="232"/>
      <c r="AZ84" s="232">
        <f>524.532</f>
        <v>524.532</v>
      </c>
      <c r="BA84" s="232">
        <f t="shared" si="166"/>
        <v>27.60743</v>
      </c>
      <c r="BB84" s="232"/>
      <c r="BC84" s="232"/>
      <c r="BD84" s="232"/>
      <c r="BE84" s="232">
        <v>27.60743</v>
      </c>
      <c r="BF84" s="232">
        <f t="shared" si="152"/>
        <v>27.60743</v>
      </c>
      <c r="BG84" s="232"/>
      <c r="BH84" s="232"/>
      <c r="BI84" s="232"/>
      <c r="BJ84" s="232">
        <v>27.60743</v>
      </c>
      <c r="BK84" s="232">
        <f t="shared" si="153"/>
        <v>552.1394300000001</v>
      </c>
      <c r="BL84" s="232">
        <f t="shared" si="154"/>
        <v>0</v>
      </c>
      <c r="BM84" s="232">
        <f t="shared" si="155"/>
        <v>0</v>
      </c>
      <c r="BN84" s="232">
        <f t="shared" si="156"/>
        <v>0</v>
      </c>
      <c r="BO84" s="232">
        <f t="shared" si="157"/>
        <v>552.1394300000001</v>
      </c>
      <c r="BP84" s="316">
        <f t="shared" si="158"/>
        <v>1807.931</v>
      </c>
      <c r="BQ84" s="317">
        <f t="shared" si="159"/>
        <v>0</v>
      </c>
      <c r="BR84" s="317">
        <f t="shared" si="160"/>
        <v>0</v>
      </c>
      <c r="BS84" s="317">
        <f t="shared" si="161"/>
        <v>0</v>
      </c>
      <c r="BT84" s="317">
        <f t="shared" si="162"/>
        <v>1807.931</v>
      </c>
      <c r="BV84" s="305">
        <v>1</v>
      </c>
      <c r="BW84" s="332" t="s">
        <v>229</v>
      </c>
      <c r="BY84" s="232"/>
      <c r="BZ84" s="232"/>
      <c r="CA84" s="317">
        <v>1</v>
      </c>
      <c r="CB84" s="232"/>
      <c r="CC84" s="232"/>
    </row>
    <row r="85" spans="1:81" s="229" customFormat="1" ht="13.5" customHeight="1">
      <c r="A85" s="230">
        <v>65</v>
      </c>
      <c r="B85" s="239" t="s">
        <v>118</v>
      </c>
      <c r="C85" s="232">
        <f t="shared" si="138"/>
        <v>7339.103</v>
      </c>
      <c r="D85" s="233"/>
      <c r="E85" s="232">
        <f t="shared" si="139"/>
        <v>7339.103</v>
      </c>
      <c r="F85" s="233"/>
      <c r="G85" s="232"/>
      <c r="H85" s="232">
        <f t="shared" si="140"/>
        <v>8474.1517</v>
      </c>
      <c r="I85" s="233"/>
      <c r="J85" s="232">
        <f t="shared" si="141"/>
        <v>7339.103</v>
      </c>
      <c r="K85" s="232">
        <f t="shared" si="142"/>
        <v>1135.0487</v>
      </c>
      <c r="L85" s="240"/>
      <c r="M85" s="232">
        <f t="shared" si="164"/>
        <v>7339.103</v>
      </c>
      <c r="N85" s="232"/>
      <c r="O85" s="232">
        <v>3929.69</v>
      </c>
      <c r="P85" s="232"/>
      <c r="Q85" s="232">
        <v>3409.413</v>
      </c>
      <c r="R85" s="234">
        <f t="shared" si="143"/>
        <v>7339.103</v>
      </c>
      <c r="S85" s="232"/>
      <c r="T85" s="232">
        <v>3929.69</v>
      </c>
      <c r="U85" s="232"/>
      <c r="V85" s="235">
        <v>3409.413</v>
      </c>
      <c r="W85" s="232">
        <f t="shared" si="144"/>
        <v>0</v>
      </c>
      <c r="X85" s="232">
        <f t="shared" si="145"/>
        <v>0</v>
      </c>
      <c r="Y85" s="232">
        <f t="shared" si="145"/>
        <v>0</v>
      </c>
      <c r="Z85" s="232">
        <f t="shared" si="145"/>
        <v>0</v>
      </c>
      <c r="AA85" s="232">
        <f t="shared" si="145"/>
        <v>0</v>
      </c>
      <c r="AB85" s="232">
        <f t="shared" si="146"/>
        <v>7339.103</v>
      </c>
      <c r="AC85" s="232"/>
      <c r="AD85" s="232">
        <f t="shared" si="147"/>
        <v>3929.69</v>
      </c>
      <c r="AE85" s="232">
        <f t="shared" si="147"/>
        <v>0</v>
      </c>
      <c r="AF85" s="232">
        <f t="shared" si="147"/>
        <v>3409.413</v>
      </c>
      <c r="AG85" s="232">
        <f t="shared" si="148"/>
        <v>0</v>
      </c>
      <c r="AH85" s="232"/>
      <c r="AI85" s="232"/>
      <c r="AJ85" s="232"/>
      <c r="AK85" s="236"/>
      <c r="AL85" s="234">
        <f t="shared" si="149"/>
        <v>7339.103</v>
      </c>
      <c r="AM85" s="232"/>
      <c r="AN85" s="232">
        <f t="shared" si="150"/>
        <v>3929.69</v>
      </c>
      <c r="AO85" s="232"/>
      <c r="AP85" s="235">
        <f t="shared" si="163"/>
        <v>3409.413</v>
      </c>
      <c r="AQ85" s="232">
        <f t="shared" si="165"/>
        <v>7339.102999999999</v>
      </c>
      <c r="AR85" s="232"/>
      <c r="AS85" s="232">
        <f>818.927+3110.763</f>
        <v>3929.69</v>
      </c>
      <c r="AT85" s="232"/>
      <c r="AU85" s="232">
        <f>540.262+2869.151</f>
        <v>3409.4129999999996</v>
      </c>
      <c r="AV85" s="232">
        <f t="shared" si="151"/>
        <v>7339.102999999999</v>
      </c>
      <c r="AW85" s="232"/>
      <c r="AX85" s="232">
        <f>818.927+3110.763</f>
        <v>3929.69</v>
      </c>
      <c r="AY85" s="232"/>
      <c r="AZ85" s="232">
        <f>540.262+2869.151</f>
        <v>3409.4129999999996</v>
      </c>
      <c r="BA85" s="232">
        <f t="shared" si="166"/>
        <v>1135.0487</v>
      </c>
      <c r="BB85" s="232"/>
      <c r="BC85" s="232">
        <f>948.53232</f>
        <v>948.53232</v>
      </c>
      <c r="BD85" s="232"/>
      <c r="BE85" s="232">
        <v>186.51638</v>
      </c>
      <c r="BF85" s="232">
        <f t="shared" si="152"/>
        <v>1135.0487</v>
      </c>
      <c r="BG85" s="232"/>
      <c r="BH85" s="232">
        <f>948.53232</f>
        <v>948.53232</v>
      </c>
      <c r="BI85" s="232"/>
      <c r="BJ85" s="232">
        <v>186.51638</v>
      </c>
      <c r="BK85" s="232">
        <f t="shared" si="153"/>
        <v>8474.151699999999</v>
      </c>
      <c r="BL85" s="232">
        <f t="shared" si="154"/>
        <v>0</v>
      </c>
      <c r="BM85" s="232">
        <f t="shared" si="155"/>
        <v>4878.22232</v>
      </c>
      <c r="BN85" s="232">
        <f t="shared" si="156"/>
        <v>0</v>
      </c>
      <c r="BO85" s="232">
        <f t="shared" si="157"/>
        <v>3595.9293799999996</v>
      </c>
      <c r="BP85" s="316">
        <f t="shared" si="158"/>
        <v>0</v>
      </c>
      <c r="BQ85" s="317">
        <f t="shared" si="159"/>
        <v>0</v>
      </c>
      <c r="BR85" s="317">
        <f t="shared" si="160"/>
        <v>0</v>
      </c>
      <c r="BS85" s="317">
        <f t="shared" si="161"/>
        <v>0</v>
      </c>
      <c r="BT85" s="317">
        <f t="shared" si="162"/>
        <v>0</v>
      </c>
      <c r="BU85" s="229">
        <v>1</v>
      </c>
      <c r="BV85" s="305"/>
      <c r="BW85" s="331" t="s">
        <v>228</v>
      </c>
      <c r="BY85" s="232"/>
      <c r="BZ85" s="232">
        <v>1</v>
      </c>
      <c r="CA85" s="317"/>
      <c r="CB85" s="232"/>
      <c r="CC85" s="232"/>
    </row>
    <row r="86" spans="1:81" s="229" customFormat="1" ht="21" customHeight="1">
      <c r="A86" s="230">
        <v>66</v>
      </c>
      <c r="B86" s="239" t="s">
        <v>119</v>
      </c>
      <c r="C86" s="232">
        <f t="shared" si="138"/>
        <v>3342.932</v>
      </c>
      <c r="D86" s="233"/>
      <c r="E86" s="232">
        <f t="shared" si="139"/>
        <v>3342.932</v>
      </c>
      <c r="F86" s="233"/>
      <c r="G86" s="232"/>
      <c r="H86" s="232">
        <f t="shared" si="140"/>
        <v>4040.58148</v>
      </c>
      <c r="I86" s="233"/>
      <c r="J86" s="232">
        <f t="shared" si="141"/>
        <v>3342.932</v>
      </c>
      <c r="K86" s="232">
        <f t="shared" si="142"/>
        <v>697.6494799999999</v>
      </c>
      <c r="L86" s="240"/>
      <c r="M86" s="232">
        <f t="shared" si="164"/>
        <v>3342.932</v>
      </c>
      <c r="N86" s="232"/>
      <c r="O86" s="232">
        <v>1789.962</v>
      </c>
      <c r="P86" s="232"/>
      <c r="Q86" s="232">
        <f>1552.977-0.007</f>
        <v>1552.97</v>
      </c>
      <c r="R86" s="234">
        <f t="shared" si="143"/>
        <v>3342.932</v>
      </c>
      <c r="S86" s="232"/>
      <c r="T86" s="232">
        <v>1789.962</v>
      </c>
      <c r="U86" s="232"/>
      <c r="V86" s="235">
        <v>1552.97</v>
      </c>
      <c r="W86" s="232">
        <f t="shared" si="144"/>
        <v>0</v>
      </c>
      <c r="X86" s="232">
        <f t="shared" si="145"/>
        <v>0</v>
      </c>
      <c r="Y86" s="232">
        <f t="shared" si="145"/>
        <v>0</v>
      </c>
      <c r="Z86" s="232">
        <f t="shared" si="145"/>
        <v>0</v>
      </c>
      <c r="AA86" s="232">
        <f t="shared" si="145"/>
        <v>0</v>
      </c>
      <c r="AB86" s="232">
        <f t="shared" si="146"/>
        <v>3342.932</v>
      </c>
      <c r="AC86" s="232"/>
      <c r="AD86" s="232">
        <f t="shared" si="147"/>
        <v>1789.962</v>
      </c>
      <c r="AE86" s="232">
        <f t="shared" si="147"/>
        <v>0</v>
      </c>
      <c r="AF86" s="232">
        <f t="shared" si="147"/>
        <v>1552.97</v>
      </c>
      <c r="AG86" s="232">
        <f t="shared" si="148"/>
        <v>0</v>
      </c>
      <c r="AH86" s="232"/>
      <c r="AI86" s="232"/>
      <c r="AJ86" s="232"/>
      <c r="AK86" s="236"/>
      <c r="AL86" s="234">
        <f t="shared" si="149"/>
        <v>3342.932</v>
      </c>
      <c r="AM86" s="232"/>
      <c r="AN86" s="232">
        <f t="shared" si="150"/>
        <v>1789.962</v>
      </c>
      <c r="AO86" s="232"/>
      <c r="AP86" s="235">
        <f t="shared" si="163"/>
        <v>1552.97</v>
      </c>
      <c r="AQ86" s="232">
        <f t="shared" si="165"/>
        <v>3206.112</v>
      </c>
      <c r="AR86" s="232"/>
      <c r="AS86" s="232">
        <v>1789.962</v>
      </c>
      <c r="AT86" s="232"/>
      <c r="AU86" s="232">
        <f>1416.15</f>
        <v>1416.15</v>
      </c>
      <c r="AV86" s="232">
        <f t="shared" si="151"/>
        <v>3206.112</v>
      </c>
      <c r="AW86" s="232"/>
      <c r="AX86" s="232">
        <v>1789.962</v>
      </c>
      <c r="AY86" s="232"/>
      <c r="AZ86" s="232">
        <f>1416.15</f>
        <v>1416.15</v>
      </c>
      <c r="BA86" s="232">
        <f t="shared" si="166"/>
        <v>697.6494799999999</v>
      </c>
      <c r="BB86" s="232"/>
      <c r="BC86" s="232">
        <v>623.06382</v>
      </c>
      <c r="BD86" s="232"/>
      <c r="BE86" s="232">
        <v>74.58566</v>
      </c>
      <c r="BF86" s="232">
        <f t="shared" si="152"/>
        <v>697.6494799999999</v>
      </c>
      <c r="BG86" s="232"/>
      <c r="BH86" s="232">
        <v>623.06382</v>
      </c>
      <c r="BI86" s="232"/>
      <c r="BJ86" s="232">
        <v>74.58566</v>
      </c>
      <c r="BK86" s="232">
        <f t="shared" si="153"/>
        <v>3903.76148</v>
      </c>
      <c r="BL86" s="232">
        <f t="shared" si="154"/>
        <v>0</v>
      </c>
      <c r="BM86" s="232">
        <f t="shared" si="155"/>
        <v>2413.02582</v>
      </c>
      <c r="BN86" s="232">
        <f t="shared" si="156"/>
        <v>0</v>
      </c>
      <c r="BO86" s="232">
        <f t="shared" si="157"/>
        <v>1490.73566</v>
      </c>
      <c r="BP86" s="316">
        <f t="shared" si="158"/>
        <v>136.81999999999994</v>
      </c>
      <c r="BQ86" s="317">
        <f t="shared" si="159"/>
        <v>0</v>
      </c>
      <c r="BR86" s="317">
        <f t="shared" si="160"/>
        <v>0</v>
      </c>
      <c r="BS86" s="317">
        <f t="shared" si="161"/>
        <v>0</v>
      </c>
      <c r="BT86" s="317">
        <f t="shared" si="162"/>
        <v>136.81999999999994</v>
      </c>
      <c r="BU86" s="229">
        <v>1</v>
      </c>
      <c r="BV86" s="305"/>
      <c r="BW86" s="331" t="s">
        <v>266</v>
      </c>
      <c r="BY86" s="232">
        <v>136.8</v>
      </c>
      <c r="BZ86" s="232">
        <v>1</v>
      </c>
      <c r="CA86" s="317"/>
      <c r="CB86" s="232"/>
      <c r="CC86" s="232"/>
    </row>
    <row r="87" spans="1:81" s="229" customFormat="1" ht="15" customHeight="1">
      <c r="A87" s="230">
        <v>67</v>
      </c>
      <c r="B87" s="239" t="s">
        <v>120</v>
      </c>
      <c r="C87" s="232">
        <f t="shared" si="138"/>
        <v>1471.3310000000001</v>
      </c>
      <c r="D87" s="233"/>
      <c r="E87" s="232">
        <f t="shared" si="139"/>
        <v>1471.3310000000001</v>
      </c>
      <c r="F87" s="233"/>
      <c r="G87" s="232"/>
      <c r="H87" s="232">
        <f t="shared" si="140"/>
        <v>3167.66163</v>
      </c>
      <c r="I87" s="233"/>
      <c r="J87" s="232">
        <f t="shared" si="141"/>
        <v>1471.3310000000001</v>
      </c>
      <c r="K87" s="232">
        <f t="shared" si="142"/>
        <v>1696.33063</v>
      </c>
      <c r="L87" s="240"/>
      <c r="M87" s="232">
        <f t="shared" si="164"/>
        <v>1471.3310000000001</v>
      </c>
      <c r="N87" s="232"/>
      <c r="O87" s="232">
        <v>787.818</v>
      </c>
      <c r="P87" s="232"/>
      <c r="Q87" s="232">
        <v>683.513</v>
      </c>
      <c r="R87" s="234">
        <f t="shared" si="143"/>
        <v>1471.3310000000001</v>
      </c>
      <c r="S87" s="232"/>
      <c r="T87" s="232">
        <v>787.818</v>
      </c>
      <c r="U87" s="232"/>
      <c r="V87" s="235">
        <v>683.513</v>
      </c>
      <c r="W87" s="232">
        <f t="shared" si="144"/>
        <v>0</v>
      </c>
      <c r="X87" s="232">
        <f t="shared" si="145"/>
        <v>0</v>
      </c>
      <c r="Y87" s="232">
        <f t="shared" si="145"/>
        <v>0</v>
      </c>
      <c r="Z87" s="232">
        <f t="shared" si="145"/>
        <v>0</v>
      </c>
      <c r="AA87" s="232">
        <f t="shared" si="145"/>
        <v>0</v>
      </c>
      <c r="AB87" s="232">
        <f t="shared" si="146"/>
        <v>1471.3310000000001</v>
      </c>
      <c r="AC87" s="232"/>
      <c r="AD87" s="232">
        <f t="shared" si="147"/>
        <v>787.818</v>
      </c>
      <c r="AE87" s="232">
        <f t="shared" si="147"/>
        <v>0</v>
      </c>
      <c r="AF87" s="232">
        <f t="shared" si="147"/>
        <v>683.513</v>
      </c>
      <c r="AG87" s="232">
        <f t="shared" si="148"/>
        <v>0</v>
      </c>
      <c r="AH87" s="232"/>
      <c r="AI87" s="232"/>
      <c r="AJ87" s="232"/>
      <c r="AK87" s="236"/>
      <c r="AL87" s="234">
        <f t="shared" si="149"/>
        <v>1471.3310000000001</v>
      </c>
      <c r="AM87" s="232"/>
      <c r="AN87" s="232">
        <f t="shared" si="150"/>
        <v>787.818</v>
      </c>
      <c r="AO87" s="232"/>
      <c r="AP87" s="235">
        <f t="shared" si="163"/>
        <v>683.513</v>
      </c>
      <c r="AQ87" s="232">
        <f t="shared" si="165"/>
        <v>1471.3310000000001</v>
      </c>
      <c r="AR87" s="232"/>
      <c r="AS87" s="232">
        <v>787.818</v>
      </c>
      <c r="AT87" s="232"/>
      <c r="AU87" s="232">
        <v>683.513</v>
      </c>
      <c r="AV87" s="232">
        <f t="shared" si="151"/>
        <v>1471.3310000000001</v>
      </c>
      <c r="AW87" s="232"/>
      <c r="AX87" s="232">
        <v>787.818</v>
      </c>
      <c r="AY87" s="232"/>
      <c r="AZ87" s="232">
        <v>683.513</v>
      </c>
      <c r="BA87" s="232">
        <f t="shared" si="166"/>
        <v>1696.33063</v>
      </c>
      <c r="BB87" s="232"/>
      <c r="BC87" s="232">
        <v>92.86897</v>
      </c>
      <c r="BD87" s="232"/>
      <c r="BE87" s="232">
        <v>1603.46166</v>
      </c>
      <c r="BF87" s="232">
        <f t="shared" si="152"/>
        <v>1696.33063</v>
      </c>
      <c r="BG87" s="232"/>
      <c r="BH87" s="232">
        <v>92.86897</v>
      </c>
      <c r="BI87" s="232"/>
      <c r="BJ87" s="232">
        <v>1603.46166</v>
      </c>
      <c r="BK87" s="232">
        <f t="shared" si="153"/>
        <v>3167.6616299999996</v>
      </c>
      <c r="BL87" s="232">
        <f t="shared" si="154"/>
        <v>0</v>
      </c>
      <c r="BM87" s="232">
        <f t="shared" si="155"/>
        <v>880.68697</v>
      </c>
      <c r="BN87" s="232">
        <f t="shared" si="156"/>
        <v>0</v>
      </c>
      <c r="BO87" s="232">
        <f t="shared" si="157"/>
        <v>2286.97466</v>
      </c>
      <c r="BP87" s="316">
        <f t="shared" si="158"/>
        <v>0</v>
      </c>
      <c r="BQ87" s="317">
        <f t="shared" si="159"/>
        <v>0</v>
      </c>
      <c r="BR87" s="317">
        <f t="shared" si="160"/>
        <v>0</v>
      </c>
      <c r="BS87" s="317">
        <f t="shared" si="161"/>
        <v>0</v>
      </c>
      <c r="BT87" s="317">
        <f t="shared" si="162"/>
        <v>0</v>
      </c>
      <c r="BU87" s="229">
        <v>1</v>
      </c>
      <c r="BV87" s="305"/>
      <c r="BW87" s="331" t="s">
        <v>228</v>
      </c>
      <c r="BY87" s="232"/>
      <c r="BZ87" s="232">
        <v>1</v>
      </c>
      <c r="CA87" s="317"/>
      <c r="CB87" s="232"/>
      <c r="CC87" s="232"/>
    </row>
    <row r="88" spans="1:81" s="229" customFormat="1" ht="15" customHeight="1">
      <c r="A88" s="238"/>
      <c r="B88" s="301" t="s">
        <v>21</v>
      </c>
      <c r="C88" s="228">
        <f aca="true" t="shared" si="167" ref="C88:K88">SUM(C89:C93)</f>
        <v>51298.962</v>
      </c>
      <c r="D88" s="228">
        <f t="shared" si="167"/>
        <v>0</v>
      </c>
      <c r="E88" s="228">
        <f t="shared" si="167"/>
        <v>51298.962</v>
      </c>
      <c r="F88" s="228">
        <f t="shared" si="167"/>
        <v>0</v>
      </c>
      <c r="G88" s="228">
        <f t="shared" si="167"/>
        <v>0</v>
      </c>
      <c r="H88" s="228">
        <f t="shared" si="167"/>
        <v>54369.64035</v>
      </c>
      <c r="I88" s="228">
        <f t="shared" si="167"/>
        <v>0</v>
      </c>
      <c r="J88" s="228">
        <f t="shared" si="167"/>
        <v>51298.962</v>
      </c>
      <c r="K88" s="228">
        <f t="shared" si="167"/>
        <v>3070.6783499999997</v>
      </c>
      <c r="L88" s="224"/>
      <c r="M88" s="223">
        <f t="shared" si="164"/>
        <v>51298.962</v>
      </c>
      <c r="N88" s="223">
        <f aca="true" t="shared" si="168" ref="N88:U88">SUM(N89:N93)</f>
        <v>7500.982</v>
      </c>
      <c r="O88" s="223">
        <f t="shared" si="168"/>
        <v>3932.566</v>
      </c>
      <c r="P88" s="223">
        <f t="shared" si="168"/>
        <v>39865.414</v>
      </c>
      <c r="Q88" s="223">
        <f t="shared" si="168"/>
        <v>0</v>
      </c>
      <c r="R88" s="225">
        <f t="shared" si="168"/>
        <v>51298.962</v>
      </c>
      <c r="S88" s="223">
        <f t="shared" si="168"/>
        <v>7500.982</v>
      </c>
      <c r="T88" s="223">
        <f t="shared" si="168"/>
        <v>3932.5660000000003</v>
      </c>
      <c r="U88" s="223">
        <f t="shared" si="168"/>
        <v>39865.414</v>
      </c>
      <c r="V88" s="226">
        <f>SUM(V89:V91)</f>
        <v>0</v>
      </c>
      <c r="W88" s="223">
        <f>SUM(W89:W93)</f>
        <v>0</v>
      </c>
      <c r="X88" s="223">
        <f>SUM(X89:X91)</f>
        <v>0</v>
      </c>
      <c r="Y88" s="223">
        <f>SUM(Y89:Y91)</f>
        <v>0</v>
      </c>
      <c r="Z88" s="223">
        <f>SUM(Z89:Z93)</f>
        <v>0</v>
      </c>
      <c r="AA88" s="223">
        <f>SUM(AA89:AA91)</f>
        <v>0</v>
      </c>
      <c r="AB88" s="223">
        <f>SUM(AB89:AB93)</f>
        <v>43797.979999999996</v>
      </c>
      <c r="AC88" s="223">
        <f>SUM(AC89:AC91)</f>
        <v>0</v>
      </c>
      <c r="AD88" s="223">
        <f>SUM(AD89:AD91)</f>
        <v>3932.5660000000003</v>
      </c>
      <c r="AE88" s="223">
        <f>SUM(AE89:AE93)</f>
        <v>39865.414</v>
      </c>
      <c r="AF88" s="223">
        <f>SUM(AF89:AF91)</f>
        <v>0</v>
      </c>
      <c r="AG88" s="223">
        <f>SUM(AG89:AG93)</f>
        <v>0</v>
      </c>
      <c r="AH88" s="223">
        <f>SUM(AH89:AH91)</f>
        <v>0</v>
      </c>
      <c r="AI88" s="223">
        <f>SUM(AI89:AI91)</f>
        <v>0</v>
      </c>
      <c r="AJ88" s="223">
        <f>SUM(AJ89:AJ93)</f>
        <v>0</v>
      </c>
      <c r="AK88" s="227">
        <f>SUM(AK89:AK91)</f>
        <v>0</v>
      </c>
      <c r="AL88" s="225">
        <f>SUM(AL89:AL93)</f>
        <v>51298.962</v>
      </c>
      <c r="AM88" s="223">
        <f aca="true" t="shared" si="169" ref="AM88:BT88">SUM(AM89:AM93)</f>
        <v>7500.982</v>
      </c>
      <c r="AN88" s="223">
        <f t="shared" si="169"/>
        <v>3932.5660000000003</v>
      </c>
      <c r="AO88" s="223">
        <f t="shared" si="169"/>
        <v>39865.414</v>
      </c>
      <c r="AP88" s="226">
        <f t="shared" si="169"/>
        <v>0</v>
      </c>
      <c r="AQ88" s="223">
        <f>SUM(AQ89:AQ93)</f>
        <v>36161.455</v>
      </c>
      <c r="AR88" s="223">
        <f>SUM(AR89:AR93)</f>
        <v>7500.982</v>
      </c>
      <c r="AS88" s="223">
        <f>SUM(AS89:AS93)</f>
        <v>3932.5660000000003</v>
      </c>
      <c r="AT88" s="223">
        <f>SUM(AT89:AT93)</f>
        <v>24727.907</v>
      </c>
      <c r="AU88" s="223">
        <f>SUM(AU89:AU93)</f>
        <v>0</v>
      </c>
      <c r="AV88" s="223">
        <f t="shared" si="169"/>
        <v>36161.455</v>
      </c>
      <c r="AW88" s="223">
        <f t="shared" si="169"/>
        <v>7500.982</v>
      </c>
      <c r="AX88" s="223">
        <f t="shared" si="169"/>
        <v>3932.5660000000003</v>
      </c>
      <c r="AY88" s="223">
        <f t="shared" si="169"/>
        <v>24727.907</v>
      </c>
      <c r="AZ88" s="223">
        <f t="shared" si="169"/>
        <v>0</v>
      </c>
      <c r="BA88" s="223">
        <f>SUM(BA89:BA93)</f>
        <v>3649.2335500000004</v>
      </c>
      <c r="BB88" s="223">
        <f>SUM(BB89:BB93)</f>
        <v>533.96528</v>
      </c>
      <c r="BC88" s="223">
        <f>SUM(BC89:BC93)</f>
        <v>1337.41607</v>
      </c>
      <c r="BD88" s="223">
        <f>SUM(BD89:BD93)</f>
        <v>1777.8521999999998</v>
      </c>
      <c r="BE88" s="223">
        <f>SUM(BE89:BE93)</f>
        <v>0</v>
      </c>
      <c r="BF88" s="223">
        <f t="shared" si="169"/>
        <v>3070.6783499999997</v>
      </c>
      <c r="BG88" s="223">
        <f t="shared" si="169"/>
        <v>533.96528</v>
      </c>
      <c r="BH88" s="223">
        <f t="shared" si="169"/>
        <v>1337.41607</v>
      </c>
      <c r="BI88" s="223">
        <f t="shared" si="169"/>
        <v>1199.297</v>
      </c>
      <c r="BJ88" s="223">
        <f t="shared" si="169"/>
        <v>0</v>
      </c>
      <c r="BK88" s="223">
        <f t="shared" si="169"/>
        <v>39232.13335</v>
      </c>
      <c r="BL88" s="223">
        <f t="shared" si="169"/>
        <v>8034.94728</v>
      </c>
      <c r="BM88" s="223">
        <f t="shared" si="169"/>
        <v>5269.98207</v>
      </c>
      <c r="BN88" s="223">
        <f t="shared" si="169"/>
        <v>25927.203999999998</v>
      </c>
      <c r="BO88" s="223">
        <f t="shared" si="169"/>
        <v>0</v>
      </c>
      <c r="BP88" s="314">
        <f t="shared" si="169"/>
        <v>15137.507</v>
      </c>
      <c r="BQ88" s="315">
        <f t="shared" si="169"/>
        <v>0</v>
      </c>
      <c r="BR88" s="315">
        <f t="shared" si="169"/>
        <v>0</v>
      </c>
      <c r="BS88" s="315">
        <f t="shared" si="169"/>
        <v>15137.507</v>
      </c>
      <c r="BT88" s="315">
        <f t="shared" si="169"/>
        <v>0</v>
      </c>
      <c r="BV88" s="305"/>
      <c r="BW88" s="349" t="s">
        <v>281</v>
      </c>
      <c r="BY88" s="223">
        <f>SUM(BY89:BY93)</f>
        <v>0</v>
      </c>
      <c r="BZ88" s="223">
        <f>SUM(BZ89:BZ93)</f>
        <v>2</v>
      </c>
      <c r="CA88" s="315">
        <f>SUM(CA89:CA93)</f>
        <v>2</v>
      </c>
      <c r="CB88" s="223">
        <f>SUM(CB89:CB93)</f>
        <v>0</v>
      </c>
      <c r="CC88" s="223">
        <f>SUM(CC89:CC93)</f>
        <v>0</v>
      </c>
    </row>
    <row r="89" spans="1:81" s="229" customFormat="1" ht="14.25" customHeight="1">
      <c r="A89" s="230">
        <v>68</v>
      </c>
      <c r="B89" s="266" t="s">
        <v>5</v>
      </c>
      <c r="C89" s="232">
        <f>E89+D89+F89</f>
        <v>7939.77</v>
      </c>
      <c r="D89" s="233"/>
      <c r="E89" s="232">
        <f>M89</f>
        <v>7939.77</v>
      </c>
      <c r="F89" s="233"/>
      <c r="G89" s="232"/>
      <c r="H89" s="232">
        <f>I89+J89+K89</f>
        <v>9488.250250000001</v>
      </c>
      <c r="I89" s="233"/>
      <c r="J89" s="232">
        <f>AL89</f>
        <v>7939.77</v>
      </c>
      <c r="K89" s="232">
        <f>BF89</f>
        <v>1548.48025</v>
      </c>
      <c r="L89" s="267"/>
      <c r="M89" s="232">
        <f t="shared" si="164"/>
        <v>7939.77</v>
      </c>
      <c r="N89" s="232">
        <v>7500.982</v>
      </c>
      <c r="O89" s="232">
        <v>438.788</v>
      </c>
      <c r="P89" s="232"/>
      <c r="Q89" s="232"/>
      <c r="R89" s="234">
        <f>S89+T89+U89+V89</f>
        <v>7939.77</v>
      </c>
      <c r="S89" s="232">
        <v>7500.982</v>
      </c>
      <c r="T89" s="232">
        <v>438.788</v>
      </c>
      <c r="U89" s="232"/>
      <c r="V89" s="235"/>
      <c r="W89" s="232">
        <f>X89+Y89+Z89+AA89</f>
        <v>0</v>
      </c>
      <c r="X89" s="232">
        <f aca="true" t="shared" si="170" ref="X89:AA91">N89-S89</f>
        <v>0</v>
      </c>
      <c r="Y89" s="232">
        <f t="shared" si="170"/>
        <v>0</v>
      </c>
      <c r="Z89" s="232">
        <f t="shared" si="170"/>
        <v>0</v>
      </c>
      <c r="AA89" s="232">
        <f t="shared" si="170"/>
        <v>0</v>
      </c>
      <c r="AB89" s="232">
        <f>AC89+AD89+AE89+AF89</f>
        <v>438.788</v>
      </c>
      <c r="AC89" s="232"/>
      <c r="AD89" s="232">
        <f aca="true" t="shared" si="171" ref="AD89:AF93">T89</f>
        <v>438.788</v>
      </c>
      <c r="AE89" s="232">
        <f t="shared" si="171"/>
        <v>0</v>
      </c>
      <c r="AF89" s="232">
        <f t="shared" si="171"/>
        <v>0</v>
      </c>
      <c r="AG89" s="232">
        <f>AH89+AI89+AJ89+AK89</f>
        <v>0</v>
      </c>
      <c r="AH89" s="232"/>
      <c r="AI89" s="232"/>
      <c r="AJ89" s="232"/>
      <c r="AK89" s="236"/>
      <c r="AL89" s="234">
        <f>AM89+AN89+AO89+AP89</f>
        <v>7939.77</v>
      </c>
      <c r="AM89" s="232">
        <v>7500.982</v>
      </c>
      <c r="AN89" s="232">
        <f aca="true" t="shared" si="172" ref="AN89:AO93">AD89</f>
        <v>438.788</v>
      </c>
      <c r="AO89" s="232"/>
      <c r="AP89" s="235"/>
      <c r="AQ89" s="232">
        <f>AR89+AS89+AT89+AU89</f>
        <v>7939.77</v>
      </c>
      <c r="AR89" s="232">
        <f>7500.982</f>
        <v>7500.982</v>
      </c>
      <c r="AS89" s="232">
        <f>438.788</f>
        <v>438.788</v>
      </c>
      <c r="AT89" s="232"/>
      <c r="AU89" s="232"/>
      <c r="AV89" s="232">
        <f>AW89+AX89+AY89+AZ89</f>
        <v>7939.77</v>
      </c>
      <c r="AW89" s="232">
        <f>7500.982</f>
        <v>7500.982</v>
      </c>
      <c r="AX89" s="232">
        <f>438.788</f>
        <v>438.788</v>
      </c>
      <c r="AY89" s="232"/>
      <c r="AZ89" s="232"/>
      <c r="BA89" s="232">
        <f>BB89+BC89+BD89+BE89</f>
        <v>1548.48025</v>
      </c>
      <c r="BB89" s="232">
        <v>533.96528</v>
      </c>
      <c r="BC89" s="232">
        <v>1014.51497</v>
      </c>
      <c r="BD89" s="232"/>
      <c r="BE89" s="232"/>
      <c r="BF89" s="232">
        <f>BG89+BH89+BI89+BJ89</f>
        <v>1548.48025</v>
      </c>
      <c r="BG89" s="232">
        <v>533.96528</v>
      </c>
      <c r="BH89" s="232">
        <v>1014.51497</v>
      </c>
      <c r="BI89" s="232"/>
      <c r="BJ89" s="232"/>
      <c r="BK89" s="232">
        <f>BL89+BM89+BN89+BO89</f>
        <v>9488.250250000001</v>
      </c>
      <c r="BL89" s="232">
        <f aca="true" t="shared" si="173" ref="BL89:BO91">AW89+BG89</f>
        <v>8034.94728</v>
      </c>
      <c r="BM89" s="232">
        <f t="shared" si="173"/>
        <v>1453.30297</v>
      </c>
      <c r="BN89" s="232">
        <f t="shared" si="173"/>
        <v>0</v>
      </c>
      <c r="BO89" s="232">
        <f t="shared" si="173"/>
        <v>0</v>
      </c>
      <c r="BP89" s="316">
        <f>BQ89+BR89+BS89+BT89</f>
        <v>0</v>
      </c>
      <c r="BQ89" s="317">
        <f aca="true" t="shared" si="174" ref="BQ89:BT91">AM89-AW89</f>
        <v>0</v>
      </c>
      <c r="BR89" s="317">
        <f t="shared" si="174"/>
        <v>0</v>
      </c>
      <c r="BS89" s="317">
        <f t="shared" si="174"/>
        <v>0</v>
      </c>
      <c r="BT89" s="317">
        <f t="shared" si="174"/>
        <v>0</v>
      </c>
      <c r="BU89" s="327">
        <v>1</v>
      </c>
      <c r="BV89" s="328"/>
      <c r="BW89" s="331" t="s">
        <v>228</v>
      </c>
      <c r="BY89" s="232"/>
      <c r="BZ89" s="232">
        <v>1</v>
      </c>
      <c r="CA89" s="317"/>
      <c r="CB89" s="232"/>
      <c r="CC89" s="232"/>
    </row>
    <row r="90" spans="1:81" s="229" customFormat="1" ht="14.25" customHeight="1">
      <c r="A90" s="230">
        <v>69</v>
      </c>
      <c r="B90" s="231" t="s">
        <v>32</v>
      </c>
      <c r="C90" s="232">
        <f>E90+D90+F90</f>
        <v>14460.424</v>
      </c>
      <c r="D90" s="233"/>
      <c r="E90" s="232">
        <f>M90</f>
        <v>14460.424</v>
      </c>
      <c r="F90" s="233"/>
      <c r="G90" s="232"/>
      <c r="H90" s="232">
        <f>I90+J90+K90</f>
        <v>14460.424</v>
      </c>
      <c r="I90" s="233"/>
      <c r="J90" s="232">
        <f>AL90</f>
        <v>14460.424</v>
      </c>
      <c r="K90" s="232">
        <f>BF90</f>
        <v>0</v>
      </c>
      <c r="L90" s="233"/>
      <c r="M90" s="232">
        <f t="shared" si="164"/>
        <v>14460.424</v>
      </c>
      <c r="N90" s="232"/>
      <c r="O90" s="232"/>
      <c r="P90" s="232">
        <v>14460.424</v>
      </c>
      <c r="Q90" s="232"/>
      <c r="R90" s="234">
        <f>S90+T90+U90+V90</f>
        <v>14460.424</v>
      </c>
      <c r="S90" s="232"/>
      <c r="T90" s="232"/>
      <c r="U90" s="232">
        <v>14460.424</v>
      </c>
      <c r="V90" s="235"/>
      <c r="W90" s="232">
        <f>X90+Y90+Z90+AA90</f>
        <v>0</v>
      </c>
      <c r="X90" s="232">
        <f t="shared" si="170"/>
        <v>0</v>
      </c>
      <c r="Y90" s="232">
        <f t="shared" si="170"/>
        <v>0</v>
      </c>
      <c r="Z90" s="232">
        <f t="shared" si="170"/>
        <v>0</v>
      </c>
      <c r="AA90" s="232">
        <f t="shared" si="170"/>
        <v>0</v>
      </c>
      <c r="AB90" s="232">
        <f>AC90+AD90+AE90+AF90</f>
        <v>14460.424</v>
      </c>
      <c r="AC90" s="232"/>
      <c r="AD90" s="232">
        <f t="shared" si="171"/>
        <v>0</v>
      </c>
      <c r="AE90" s="232">
        <f t="shared" si="171"/>
        <v>14460.424</v>
      </c>
      <c r="AF90" s="232">
        <f t="shared" si="171"/>
        <v>0</v>
      </c>
      <c r="AG90" s="232">
        <f>AH90+AI90+AJ90+AK90</f>
        <v>0</v>
      </c>
      <c r="AH90" s="232"/>
      <c r="AI90" s="232"/>
      <c r="AJ90" s="232"/>
      <c r="AK90" s="236"/>
      <c r="AL90" s="234">
        <f>AM90+AN90+AO90+AP90</f>
        <v>14460.424</v>
      </c>
      <c r="AM90" s="232"/>
      <c r="AN90" s="232"/>
      <c r="AO90" s="232">
        <f t="shared" si="172"/>
        <v>14460.424</v>
      </c>
      <c r="AP90" s="235"/>
      <c r="AQ90" s="232">
        <f>AR90+AS90+AT90+AU90</f>
        <v>10992.536</v>
      </c>
      <c r="AR90" s="232"/>
      <c r="AS90" s="232"/>
      <c r="AT90" s="232">
        <f>10992.536</f>
        <v>10992.536</v>
      </c>
      <c r="AU90" s="232"/>
      <c r="AV90" s="232">
        <f>AW90+AX90+AY90+AZ90</f>
        <v>10992.536</v>
      </c>
      <c r="AW90" s="232"/>
      <c r="AX90" s="232"/>
      <c r="AY90" s="232">
        <f>10992.536</f>
        <v>10992.536</v>
      </c>
      <c r="AZ90" s="232"/>
      <c r="BA90" s="232">
        <f>BB90+BC90+BD90+BE90</f>
        <v>578.5552</v>
      </c>
      <c r="BB90" s="232"/>
      <c r="BC90" s="232"/>
      <c r="BD90" s="232">
        <v>578.5552</v>
      </c>
      <c r="BE90" s="232"/>
      <c r="BF90" s="232">
        <f>BG90+BH90+BI90+BJ90</f>
        <v>0</v>
      </c>
      <c r="BG90" s="232"/>
      <c r="BH90" s="232"/>
      <c r="BI90" s="232"/>
      <c r="BJ90" s="232"/>
      <c r="BK90" s="232">
        <f>BL90+BM90+BN90+BO90</f>
        <v>10992.536</v>
      </c>
      <c r="BL90" s="232">
        <f t="shared" si="173"/>
        <v>0</v>
      </c>
      <c r="BM90" s="232">
        <f t="shared" si="173"/>
        <v>0</v>
      </c>
      <c r="BN90" s="232">
        <f t="shared" si="173"/>
        <v>10992.536</v>
      </c>
      <c r="BO90" s="232">
        <f t="shared" si="173"/>
        <v>0</v>
      </c>
      <c r="BP90" s="316">
        <f>BQ90+BR90+BS90+BT90</f>
        <v>3467.888000000001</v>
      </c>
      <c r="BQ90" s="317">
        <f t="shared" si="174"/>
        <v>0</v>
      </c>
      <c r="BR90" s="317">
        <f t="shared" si="174"/>
        <v>0</v>
      </c>
      <c r="BS90" s="317">
        <f t="shared" si="174"/>
        <v>3467.888000000001</v>
      </c>
      <c r="BT90" s="317">
        <f t="shared" si="174"/>
        <v>0</v>
      </c>
      <c r="BV90" s="305">
        <v>1</v>
      </c>
      <c r="BW90" s="332" t="s">
        <v>229</v>
      </c>
      <c r="BY90" s="232"/>
      <c r="BZ90" s="232"/>
      <c r="CA90" s="317">
        <v>1</v>
      </c>
      <c r="CB90" s="232"/>
      <c r="CC90" s="232"/>
    </row>
    <row r="91" spans="1:81" s="229" customFormat="1" ht="14.25" customHeight="1">
      <c r="A91" s="230">
        <v>70</v>
      </c>
      <c r="B91" s="239" t="s">
        <v>121</v>
      </c>
      <c r="C91" s="232">
        <f>E91+D91+F91</f>
        <v>27663.396999999997</v>
      </c>
      <c r="D91" s="233"/>
      <c r="E91" s="232">
        <f>M91</f>
        <v>27663.396999999997</v>
      </c>
      <c r="F91" s="233"/>
      <c r="G91" s="232"/>
      <c r="H91" s="232">
        <f>I91+J91+K91</f>
        <v>29109.6988</v>
      </c>
      <c r="I91" s="233"/>
      <c r="J91" s="232">
        <f>AL91</f>
        <v>27663.396999999997</v>
      </c>
      <c r="K91" s="232">
        <f>BF91</f>
        <v>1446.3018</v>
      </c>
      <c r="L91" s="240"/>
      <c r="M91" s="232">
        <f t="shared" si="164"/>
        <v>27663.396999999997</v>
      </c>
      <c r="N91" s="232"/>
      <c r="O91" s="232">
        <v>3493.778</v>
      </c>
      <c r="P91" s="232">
        <f>12500+11669.619</f>
        <v>24169.619</v>
      </c>
      <c r="Q91" s="232"/>
      <c r="R91" s="234">
        <f>S91+T91+U91+V91</f>
        <v>27663.396999999997</v>
      </c>
      <c r="S91" s="232"/>
      <c r="T91" s="232">
        <f>1870.728+1623.05</f>
        <v>3493.7780000000002</v>
      </c>
      <c r="U91" s="232">
        <f>12500+11669.619</f>
        <v>24169.619</v>
      </c>
      <c r="V91" s="235"/>
      <c r="W91" s="232">
        <f>X91+Y91+Z91+AA91</f>
        <v>0</v>
      </c>
      <c r="X91" s="232">
        <f t="shared" si="170"/>
        <v>0</v>
      </c>
      <c r="Y91" s="232">
        <f t="shared" si="170"/>
        <v>0</v>
      </c>
      <c r="Z91" s="232">
        <f t="shared" si="170"/>
        <v>0</v>
      </c>
      <c r="AA91" s="232">
        <f t="shared" si="170"/>
        <v>0</v>
      </c>
      <c r="AB91" s="232">
        <f>AC91+AD91+AE91+AF91</f>
        <v>27663.396999999997</v>
      </c>
      <c r="AC91" s="232"/>
      <c r="AD91" s="232">
        <f t="shared" si="171"/>
        <v>3493.7780000000002</v>
      </c>
      <c r="AE91" s="232">
        <f t="shared" si="171"/>
        <v>24169.619</v>
      </c>
      <c r="AF91" s="232">
        <f t="shared" si="171"/>
        <v>0</v>
      </c>
      <c r="AG91" s="232">
        <f>AH91+AI91+AJ91+AK91</f>
        <v>0</v>
      </c>
      <c r="AH91" s="232"/>
      <c r="AI91" s="232"/>
      <c r="AJ91" s="232"/>
      <c r="AK91" s="236"/>
      <c r="AL91" s="234">
        <f>AM91+AN91+AO91+AP91</f>
        <v>27663.396999999997</v>
      </c>
      <c r="AM91" s="232"/>
      <c r="AN91" s="232">
        <f t="shared" si="172"/>
        <v>3493.7780000000002</v>
      </c>
      <c r="AO91" s="232">
        <f t="shared" si="172"/>
        <v>24169.619</v>
      </c>
      <c r="AP91" s="235"/>
      <c r="AQ91" s="232">
        <f>AR91+AS91+AT91+AU91</f>
        <v>15993.778</v>
      </c>
      <c r="AR91" s="232"/>
      <c r="AS91" s="232">
        <f>2455.045+1038.733</f>
        <v>3493.7780000000002</v>
      </c>
      <c r="AT91" s="232">
        <f>5718.00675+6750.37029+31.62296</f>
        <v>12500</v>
      </c>
      <c r="AU91" s="232"/>
      <c r="AV91" s="232">
        <f>AW91+AX91+AY91+AZ91</f>
        <v>15993.778</v>
      </c>
      <c r="AW91" s="232"/>
      <c r="AX91" s="232">
        <f>2455.045+1038.733</f>
        <v>3493.7780000000002</v>
      </c>
      <c r="AY91" s="232">
        <f>5718.00675+6750.37029+31.62296</f>
        <v>12500</v>
      </c>
      <c r="AZ91" s="232"/>
      <c r="BA91" s="232">
        <f>BB91+BC91+BD91+BE91</f>
        <v>1446.3018</v>
      </c>
      <c r="BB91" s="232"/>
      <c r="BC91" s="232">
        <v>322.9011</v>
      </c>
      <c r="BD91" s="232">
        <v>1123.4007</v>
      </c>
      <c r="BE91" s="232"/>
      <c r="BF91" s="232">
        <f>BG91+BH91+BI91+BJ91</f>
        <v>1446.3018</v>
      </c>
      <c r="BG91" s="232"/>
      <c r="BH91" s="232">
        <v>322.9011</v>
      </c>
      <c r="BI91" s="232">
        <v>1123.4007</v>
      </c>
      <c r="BJ91" s="232"/>
      <c r="BK91" s="232">
        <f>BL91+BM91+BN91+BO91</f>
        <v>17440.0798</v>
      </c>
      <c r="BL91" s="232">
        <f t="shared" si="173"/>
        <v>0</v>
      </c>
      <c r="BM91" s="232">
        <f t="shared" si="173"/>
        <v>3816.6791000000003</v>
      </c>
      <c r="BN91" s="232">
        <f t="shared" si="173"/>
        <v>13623.4007</v>
      </c>
      <c r="BO91" s="232">
        <f t="shared" si="173"/>
        <v>0</v>
      </c>
      <c r="BP91" s="316">
        <f>BQ91+BR91+BS91+BT91</f>
        <v>11669.618999999999</v>
      </c>
      <c r="BQ91" s="317">
        <f t="shared" si="174"/>
        <v>0</v>
      </c>
      <c r="BR91" s="317">
        <f t="shared" si="174"/>
        <v>0</v>
      </c>
      <c r="BS91" s="317">
        <f t="shared" si="174"/>
        <v>11669.618999999999</v>
      </c>
      <c r="BT91" s="317">
        <f t="shared" si="174"/>
        <v>0</v>
      </c>
      <c r="BV91" s="305">
        <v>1</v>
      </c>
      <c r="BW91" s="332" t="s">
        <v>229</v>
      </c>
      <c r="BY91" s="232"/>
      <c r="BZ91" s="232"/>
      <c r="CA91" s="317">
        <v>1</v>
      </c>
      <c r="CB91" s="232"/>
      <c r="CC91" s="232"/>
    </row>
    <row r="92" spans="1:81" s="229" customFormat="1" ht="14.25" customHeight="1" hidden="1">
      <c r="A92" s="230"/>
      <c r="B92" s="239" t="s">
        <v>122</v>
      </c>
      <c r="C92" s="232">
        <f>E92+D92+F92</f>
        <v>0</v>
      </c>
      <c r="D92" s="233"/>
      <c r="E92" s="232">
        <f>M92</f>
        <v>0</v>
      </c>
      <c r="F92" s="233"/>
      <c r="G92" s="232"/>
      <c r="H92" s="232">
        <f>I92+J92+K92</f>
        <v>0</v>
      </c>
      <c r="I92" s="233"/>
      <c r="J92" s="232">
        <f>AL92</f>
        <v>0</v>
      </c>
      <c r="K92" s="232">
        <f>BF92</f>
        <v>0</v>
      </c>
      <c r="L92" s="240"/>
      <c r="M92" s="232"/>
      <c r="N92" s="232"/>
      <c r="O92" s="232"/>
      <c r="P92" s="232"/>
      <c r="Q92" s="232"/>
      <c r="R92" s="234"/>
      <c r="S92" s="232"/>
      <c r="T92" s="232"/>
      <c r="U92" s="232"/>
      <c r="V92" s="235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6"/>
      <c r="AL92" s="234"/>
      <c r="AM92" s="232"/>
      <c r="AN92" s="232"/>
      <c r="AO92" s="232"/>
      <c r="AP92" s="235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232"/>
      <c r="BO92" s="232"/>
      <c r="BP92" s="316"/>
      <c r="BQ92" s="317"/>
      <c r="BR92" s="317"/>
      <c r="BS92" s="317"/>
      <c r="BT92" s="317"/>
      <c r="BV92" s="305"/>
      <c r="BW92" s="332"/>
      <c r="BY92" s="232"/>
      <c r="BZ92" s="232"/>
      <c r="CA92" s="317"/>
      <c r="CB92" s="232"/>
      <c r="CC92" s="232"/>
    </row>
    <row r="93" spans="1:81" s="229" customFormat="1" ht="14.25" customHeight="1">
      <c r="A93" s="230">
        <v>71</v>
      </c>
      <c r="B93" s="239" t="s">
        <v>123</v>
      </c>
      <c r="C93" s="232">
        <f>E93+D93+F93</f>
        <v>1235.371</v>
      </c>
      <c r="D93" s="233"/>
      <c r="E93" s="232">
        <f>M93</f>
        <v>1235.371</v>
      </c>
      <c r="F93" s="233"/>
      <c r="G93" s="232"/>
      <c r="H93" s="232">
        <f>I93+J93+K93</f>
        <v>1311.2673</v>
      </c>
      <c r="I93" s="233"/>
      <c r="J93" s="232">
        <f>AL93</f>
        <v>1235.371</v>
      </c>
      <c r="K93" s="232">
        <f>BF93</f>
        <v>75.8963</v>
      </c>
      <c r="L93" s="240"/>
      <c r="M93" s="232">
        <f t="shared" si="164"/>
        <v>1235.371</v>
      </c>
      <c r="N93" s="232"/>
      <c r="O93" s="232"/>
      <c r="P93" s="232">
        <v>1235.371</v>
      </c>
      <c r="Q93" s="232"/>
      <c r="R93" s="234">
        <f>S93+T93+U93+V93</f>
        <v>1235.371</v>
      </c>
      <c r="S93" s="232"/>
      <c r="T93" s="232"/>
      <c r="U93" s="232">
        <v>1235.371</v>
      </c>
      <c r="V93" s="235"/>
      <c r="W93" s="232">
        <f>X93+Y93+Z93+AA93</f>
        <v>0</v>
      </c>
      <c r="X93" s="232">
        <f>N93-S93</f>
        <v>0</v>
      </c>
      <c r="Y93" s="232">
        <f>O93-T93</f>
        <v>0</v>
      </c>
      <c r="Z93" s="232">
        <f>P93-U93</f>
        <v>0</v>
      </c>
      <c r="AA93" s="232">
        <f>Q93-V93</f>
        <v>0</v>
      </c>
      <c r="AB93" s="232">
        <f>AC93+AD93+AE93+AF93</f>
        <v>1235.371</v>
      </c>
      <c r="AC93" s="232"/>
      <c r="AD93" s="232">
        <f t="shared" si="171"/>
        <v>0</v>
      </c>
      <c r="AE93" s="232">
        <f t="shared" si="171"/>
        <v>1235.371</v>
      </c>
      <c r="AF93" s="232">
        <f t="shared" si="171"/>
        <v>0</v>
      </c>
      <c r="AG93" s="232">
        <f>AH93+AI93+AJ93+AK93</f>
        <v>0</v>
      </c>
      <c r="AH93" s="232"/>
      <c r="AI93" s="232"/>
      <c r="AJ93" s="232"/>
      <c r="AK93" s="236"/>
      <c r="AL93" s="234">
        <f>AM93+AN93+AO93+AP93</f>
        <v>1235.371</v>
      </c>
      <c r="AM93" s="232"/>
      <c r="AN93" s="232"/>
      <c r="AO93" s="232">
        <f t="shared" si="172"/>
        <v>1235.371</v>
      </c>
      <c r="AP93" s="235"/>
      <c r="AQ93" s="232">
        <f>AR93+AS93+AT93+AU93</f>
        <v>1235.371</v>
      </c>
      <c r="AR93" s="232"/>
      <c r="AS93" s="232"/>
      <c r="AT93" s="232">
        <v>1235.371</v>
      </c>
      <c r="AU93" s="232"/>
      <c r="AV93" s="232">
        <f>AW93+AX93+AY93+AZ93</f>
        <v>1235.371</v>
      </c>
      <c r="AW93" s="232"/>
      <c r="AX93" s="232"/>
      <c r="AY93" s="232">
        <v>1235.371</v>
      </c>
      <c r="AZ93" s="232"/>
      <c r="BA93" s="232">
        <f>BB93+BC93+BD93+BE93</f>
        <v>75.8963</v>
      </c>
      <c r="BB93" s="232"/>
      <c r="BC93" s="232"/>
      <c r="BD93" s="232">
        <v>75.8963</v>
      </c>
      <c r="BE93" s="232"/>
      <c r="BF93" s="232">
        <f>BG93+BH93+BI93+BJ93</f>
        <v>75.8963</v>
      </c>
      <c r="BG93" s="232"/>
      <c r="BH93" s="232"/>
      <c r="BI93" s="232">
        <v>75.8963</v>
      </c>
      <c r="BJ93" s="232"/>
      <c r="BK93" s="232">
        <f>BL93+BM93+BN93+BO93</f>
        <v>1311.2673</v>
      </c>
      <c r="BL93" s="232">
        <f>AW93+BG93</f>
        <v>0</v>
      </c>
      <c r="BM93" s="232">
        <f>AX93+BH93</f>
        <v>0</v>
      </c>
      <c r="BN93" s="232">
        <f>AY93+BI93</f>
        <v>1311.2673</v>
      </c>
      <c r="BO93" s="232">
        <f>AZ93+BJ93</f>
        <v>0</v>
      </c>
      <c r="BP93" s="316">
        <f>BQ93+BR93+BS93+BT93</f>
        <v>0</v>
      </c>
      <c r="BQ93" s="317">
        <f>AM93-AW93</f>
        <v>0</v>
      </c>
      <c r="BR93" s="317">
        <f>AN93-AX93</f>
        <v>0</v>
      </c>
      <c r="BS93" s="317">
        <f>AO93-AY93</f>
        <v>0</v>
      </c>
      <c r="BT93" s="317">
        <f>AP93-AZ93</f>
        <v>0</v>
      </c>
      <c r="BU93" s="229">
        <v>1</v>
      </c>
      <c r="BV93" s="305"/>
      <c r="BW93" s="331" t="s">
        <v>228</v>
      </c>
      <c r="BY93" s="232"/>
      <c r="BZ93" s="232">
        <v>1</v>
      </c>
      <c r="CA93" s="317"/>
      <c r="CB93" s="232"/>
      <c r="CC93" s="232"/>
    </row>
    <row r="94" spans="1:81" s="229" customFormat="1" ht="15" customHeight="1">
      <c r="A94" s="238"/>
      <c r="B94" s="301" t="s">
        <v>22</v>
      </c>
      <c r="C94" s="228">
        <f aca="true" t="shared" si="175" ref="C94:K94">SUM(C95:C98)</f>
        <v>74478.992</v>
      </c>
      <c r="D94" s="228">
        <f t="shared" si="175"/>
        <v>0</v>
      </c>
      <c r="E94" s="228">
        <f t="shared" si="175"/>
        <v>74478.992</v>
      </c>
      <c r="F94" s="228">
        <f t="shared" si="175"/>
        <v>0</v>
      </c>
      <c r="G94" s="228">
        <f t="shared" si="175"/>
        <v>0</v>
      </c>
      <c r="H94" s="228">
        <f t="shared" si="175"/>
        <v>4761.92475</v>
      </c>
      <c r="I94" s="228">
        <f t="shared" si="175"/>
        <v>0</v>
      </c>
      <c r="J94" s="228">
        <f t="shared" si="175"/>
        <v>4478.992</v>
      </c>
      <c r="K94" s="228">
        <f t="shared" si="175"/>
        <v>282.93275</v>
      </c>
      <c r="L94" s="224"/>
      <c r="M94" s="223">
        <f t="shared" si="164"/>
        <v>74478.992</v>
      </c>
      <c r="N94" s="223">
        <f>SUM(N95:N98)</f>
        <v>70000</v>
      </c>
      <c r="O94" s="223">
        <f aca="true" t="shared" si="176" ref="O94:AP94">SUM(O95:O98)</f>
        <v>3469.552</v>
      </c>
      <c r="P94" s="223">
        <f t="shared" si="176"/>
        <v>0</v>
      </c>
      <c r="Q94" s="223">
        <f t="shared" si="176"/>
        <v>1009.44</v>
      </c>
      <c r="R94" s="225">
        <f t="shared" si="176"/>
        <v>74478.992</v>
      </c>
      <c r="S94" s="223">
        <f t="shared" si="176"/>
        <v>70000</v>
      </c>
      <c r="T94" s="223">
        <f t="shared" si="176"/>
        <v>3469.552</v>
      </c>
      <c r="U94" s="223">
        <f t="shared" si="176"/>
        <v>0</v>
      </c>
      <c r="V94" s="226">
        <f t="shared" si="176"/>
        <v>1009.44</v>
      </c>
      <c r="W94" s="223">
        <f t="shared" si="176"/>
        <v>0</v>
      </c>
      <c r="X94" s="223">
        <f t="shared" si="176"/>
        <v>0</v>
      </c>
      <c r="Y94" s="223">
        <f t="shared" si="176"/>
        <v>0</v>
      </c>
      <c r="Z94" s="223">
        <f t="shared" si="176"/>
        <v>0</v>
      </c>
      <c r="AA94" s="223">
        <f t="shared" si="176"/>
        <v>0</v>
      </c>
      <c r="AB94" s="223">
        <f t="shared" si="176"/>
        <v>4478.992</v>
      </c>
      <c r="AC94" s="223">
        <f t="shared" si="176"/>
        <v>0</v>
      </c>
      <c r="AD94" s="223">
        <f t="shared" si="176"/>
        <v>3469.552</v>
      </c>
      <c r="AE94" s="223">
        <f t="shared" si="176"/>
        <v>0</v>
      </c>
      <c r="AF94" s="223">
        <f t="shared" si="176"/>
        <v>1009.44</v>
      </c>
      <c r="AG94" s="223">
        <f t="shared" si="176"/>
        <v>0</v>
      </c>
      <c r="AH94" s="223">
        <f t="shared" si="176"/>
        <v>0</v>
      </c>
      <c r="AI94" s="223">
        <f t="shared" si="176"/>
        <v>0</v>
      </c>
      <c r="AJ94" s="223">
        <f t="shared" si="176"/>
        <v>0</v>
      </c>
      <c r="AK94" s="227">
        <f t="shared" si="176"/>
        <v>0</v>
      </c>
      <c r="AL94" s="225">
        <f t="shared" si="176"/>
        <v>4478.992</v>
      </c>
      <c r="AM94" s="223">
        <f t="shared" si="176"/>
        <v>0</v>
      </c>
      <c r="AN94" s="223">
        <f t="shared" si="176"/>
        <v>3469.552</v>
      </c>
      <c r="AO94" s="223">
        <f t="shared" si="176"/>
        <v>0</v>
      </c>
      <c r="AP94" s="226">
        <f t="shared" si="176"/>
        <v>1009.44</v>
      </c>
      <c r="AQ94" s="223">
        <f aca="true" t="shared" si="177" ref="AQ94:BE94">SUM(AQ95:AQ98)</f>
        <v>3957.80364</v>
      </c>
      <c r="AR94" s="223">
        <f t="shared" si="177"/>
        <v>0</v>
      </c>
      <c r="AS94" s="223">
        <f t="shared" si="177"/>
        <v>3104.82693</v>
      </c>
      <c r="AT94" s="223">
        <f t="shared" si="177"/>
        <v>0</v>
      </c>
      <c r="AU94" s="223">
        <f t="shared" si="177"/>
        <v>852.97671</v>
      </c>
      <c r="AV94" s="223">
        <f t="shared" si="177"/>
        <v>3957.80364</v>
      </c>
      <c r="AW94" s="223">
        <f t="shared" si="177"/>
        <v>0</v>
      </c>
      <c r="AX94" s="223">
        <f t="shared" si="177"/>
        <v>3104.82693</v>
      </c>
      <c r="AY94" s="223">
        <f t="shared" si="177"/>
        <v>0</v>
      </c>
      <c r="AZ94" s="223">
        <f t="shared" si="177"/>
        <v>852.97671</v>
      </c>
      <c r="BA94" s="223">
        <f t="shared" si="177"/>
        <v>282.93275</v>
      </c>
      <c r="BB94" s="223">
        <f t="shared" si="177"/>
        <v>0</v>
      </c>
      <c r="BC94" s="223">
        <f t="shared" si="177"/>
        <v>238.03875</v>
      </c>
      <c r="BD94" s="223">
        <f t="shared" si="177"/>
        <v>0</v>
      </c>
      <c r="BE94" s="223">
        <f t="shared" si="177"/>
        <v>44.894</v>
      </c>
      <c r="BF94" s="223">
        <f aca="true" t="shared" si="178" ref="BF94:BT94">SUM(BF95:BF98)</f>
        <v>282.93275</v>
      </c>
      <c r="BG94" s="223">
        <f t="shared" si="178"/>
        <v>0</v>
      </c>
      <c r="BH94" s="223">
        <f t="shared" si="178"/>
        <v>238.03875</v>
      </c>
      <c r="BI94" s="223">
        <f t="shared" si="178"/>
        <v>0</v>
      </c>
      <c r="BJ94" s="223">
        <f t="shared" si="178"/>
        <v>44.894</v>
      </c>
      <c r="BK94" s="223">
        <f t="shared" si="178"/>
        <v>4240.73639</v>
      </c>
      <c r="BL94" s="223">
        <f t="shared" si="178"/>
        <v>0</v>
      </c>
      <c r="BM94" s="223">
        <f t="shared" si="178"/>
        <v>3342.86568</v>
      </c>
      <c r="BN94" s="223">
        <f t="shared" si="178"/>
        <v>0</v>
      </c>
      <c r="BO94" s="223">
        <f t="shared" si="178"/>
        <v>897.87071</v>
      </c>
      <c r="BP94" s="314">
        <f t="shared" si="178"/>
        <v>521.18836</v>
      </c>
      <c r="BQ94" s="315">
        <f t="shared" si="178"/>
        <v>0</v>
      </c>
      <c r="BR94" s="315">
        <f t="shared" si="178"/>
        <v>364.72506999999996</v>
      </c>
      <c r="BS94" s="315">
        <f t="shared" si="178"/>
        <v>0</v>
      </c>
      <c r="BT94" s="315">
        <f t="shared" si="178"/>
        <v>156.46329000000003</v>
      </c>
      <c r="BV94" s="305"/>
      <c r="BW94" s="349" t="s">
        <v>286</v>
      </c>
      <c r="BY94" s="223">
        <f>SUM(BY95:BY98)</f>
        <v>521.2</v>
      </c>
      <c r="BZ94" s="223">
        <f>SUM(BZ95:BZ98)</f>
        <v>3</v>
      </c>
      <c r="CA94" s="315">
        <f>SUM(CA95:CA98)</f>
        <v>1</v>
      </c>
      <c r="CB94" s="223">
        <f>SUM(CB95:CB98)</f>
        <v>0</v>
      </c>
      <c r="CC94" s="223">
        <f>SUM(CC95:CC98)</f>
        <v>0</v>
      </c>
    </row>
    <row r="95" spans="1:81" s="229" customFormat="1" ht="13.5" customHeight="1">
      <c r="A95" s="230">
        <v>72</v>
      </c>
      <c r="B95" s="268" t="s">
        <v>22</v>
      </c>
      <c r="C95" s="232">
        <f>E95+D95+F95</f>
        <v>70000</v>
      </c>
      <c r="D95" s="233"/>
      <c r="E95" s="232">
        <f>M95</f>
        <v>70000</v>
      </c>
      <c r="F95" s="233"/>
      <c r="G95" s="232"/>
      <c r="H95" s="232">
        <f>I95+J95+K95</f>
        <v>0</v>
      </c>
      <c r="I95" s="233"/>
      <c r="J95" s="232">
        <f>AL95</f>
        <v>0</v>
      </c>
      <c r="K95" s="232">
        <f>BF95</f>
        <v>0</v>
      </c>
      <c r="L95" s="269"/>
      <c r="M95" s="232">
        <f>N95+O95+P95+Q95</f>
        <v>70000</v>
      </c>
      <c r="N95" s="232">
        <v>70000</v>
      </c>
      <c r="O95" s="232"/>
      <c r="P95" s="232"/>
      <c r="Q95" s="232"/>
      <c r="R95" s="234">
        <f>S95+T95+U95+V95</f>
        <v>70000</v>
      </c>
      <c r="S95" s="232">
        <v>70000</v>
      </c>
      <c r="T95" s="232"/>
      <c r="U95" s="232"/>
      <c r="V95" s="235"/>
      <c r="W95" s="232">
        <f>X95+Y95+Z95+AA95</f>
        <v>0</v>
      </c>
      <c r="X95" s="232">
        <f aca="true" t="shared" si="179" ref="X95:AA98">N95-S95</f>
        <v>0</v>
      </c>
      <c r="Y95" s="232">
        <f t="shared" si="179"/>
        <v>0</v>
      </c>
      <c r="Z95" s="232">
        <f t="shared" si="179"/>
        <v>0</v>
      </c>
      <c r="AA95" s="232">
        <f t="shared" si="179"/>
        <v>0</v>
      </c>
      <c r="AB95" s="232">
        <f>AC95+AD95+AE95+AF95</f>
        <v>0</v>
      </c>
      <c r="AC95" s="232"/>
      <c r="AD95" s="232">
        <f>T95</f>
        <v>0</v>
      </c>
      <c r="AE95" s="232">
        <f>U95</f>
        <v>0</v>
      </c>
      <c r="AF95" s="232">
        <f>V95</f>
        <v>0</v>
      </c>
      <c r="AG95" s="232">
        <f>AH95+AI95+AJ95+AK95</f>
        <v>0</v>
      </c>
      <c r="AH95" s="232"/>
      <c r="AI95" s="232"/>
      <c r="AJ95" s="232"/>
      <c r="AK95" s="236"/>
      <c r="AL95" s="234">
        <f>AM95+AN95+AO95+AP95</f>
        <v>0</v>
      </c>
      <c r="AM95" s="232"/>
      <c r="AN95" s="232"/>
      <c r="AO95" s="232"/>
      <c r="AP95" s="235"/>
      <c r="AQ95" s="232">
        <f>AR95+AS95+AT95+AU95</f>
        <v>0</v>
      </c>
      <c r="AR95" s="232"/>
      <c r="AS95" s="232"/>
      <c r="AT95" s="232"/>
      <c r="AU95" s="232"/>
      <c r="AV95" s="232">
        <f>AW95+AX95+AY95+AZ95</f>
        <v>0</v>
      </c>
      <c r="AW95" s="232"/>
      <c r="AX95" s="232"/>
      <c r="AY95" s="232"/>
      <c r="AZ95" s="232"/>
      <c r="BA95" s="232">
        <f>BB95+BC95+BD95+BE95</f>
        <v>0</v>
      </c>
      <c r="BB95" s="232"/>
      <c r="BC95" s="232"/>
      <c r="BD95" s="232"/>
      <c r="BE95" s="232"/>
      <c r="BF95" s="232">
        <f>BG95+BH95+BI95+BJ95</f>
        <v>0</v>
      </c>
      <c r="BG95" s="232"/>
      <c r="BH95" s="232"/>
      <c r="BI95" s="232"/>
      <c r="BJ95" s="232"/>
      <c r="BK95" s="232">
        <f>BL95+BM95+BN95+BO95</f>
        <v>0</v>
      </c>
      <c r="BL95" s="232">
        <f aca="true" t="shared" si="180" ref="BL95:BO98">AW95+BG95</f>
        <v>0</v>
      </c>
      <c r="BM95" s="232">
        <f t="shared" si="180"/>
        <v>0</v>
      </c>
      <c r="BN95" s="232">
        <f t="shared" si="180"/>
        <v>0</v>
      </c>
      <c r="BO95" s="232">
        <f t="shared" si="180"/>
        <v>0</v>
      </c>
      <c r="BP95" s="316">
        <f>BQ95+BR95+BS95+BT95</f>
        <v>0</v>
      </c>
      <c r="BQ95" s="317">
        <f aca="true" t="shared" si="181" ref="BQ95:BT98">AM95-AW95</f>
        <v>0</v>
      </c>
      <c r="BR95" s="317">
        <f t="shared" si="181"/>
        <v>0</v>
      </c>
      <c r="BS95" s="317">
        <f t="shared" si="181"/>
        <v>0</v>
      </c>
      <c r="BT95" s="317">
        <f t="shared" si="181"/>
        <v>0</v>
      </c>
      <c r="BV95" s="305">
        <v>1</v>
      </c>
      <c r="BW95" s="332" t="s">
        <v>229</v>
      </c>
      <c r="BY95" s="232"/>
      <c r="BZ95" s="232"/>
      <c r="CA95" s="317">
        <v>1</v>
      </c>
      <c r="CB95" s="232"/>
      <c r="CC95" s="232"/>
    </row>
    <row r="96" spans="1:81" s="229" customFormat="1" ht="24.75" customHeight="1">
      <c r="A96" s="230">
        <v>73</v>
      </c>
      <c r="B96" s="231" t="s">
        <v>124</v>
      </c>
      <c r="C96" s="232">
        <f>E96+D96+F96</f>
        <v>1415.4660000000001</v>
      </c>
      <c r="D96" s="233"/>
      <c r="E96" s="232">
        <f>M96</f>
        <v>1415.4660000000001</v>
      </c>
      <c r="F96" s="233"/>
      <c r="G96" s="232"/>
      <c r="H96" s="232">
        <f>I96+J96+K96</f>
        <v>1543.6567100000002</v>
      </c>
      <c r="I96" s="233"/>
      <c r="J96" s="232">
        <f>AL96</f>
        <v>1415.4660000000001</v>
      </c>
      <c r="K96" s="232">
        <f>BF96</f>
        <v>128.19071</v>
      </c>
      <c r="L96" s="233"/>
      <c r="M96" s="232">
        <f t="shared" si="164"/>
        <v>1415.4660000000001</v>
      </c>
      <c r="N96" s="232"/>
      <c r="O96" s="232">
        <v>406.026</v>
      </c>
      <c r="P96" s="232"/>
      <c r="Q96" s="232">
        <f>1013.327-3.887</f>
        <v>1009.44</v>
      </c>
      <c r="R96" s="234">
        <f>S96+T96+U96+V96</f>
        <v>1415.4660000000001</v>
      </c>
      <c r="S96" s="232"/>
      <c r="T96" s="232">
        <v>406.026</v>
      </c>
      <c r="U96" s="232"/>
      <c r="V96" s="235">
        <v>1009.44</v>
      </c>
      <c r="W96" s="232">
        <f>X96+Y96+Z96+AA96</f>
        <v>0</v>
      </c>
      <c r="X96" s="232">
        <f t="shared" si="179"/>
        <v>0</v>
      </c>
      <c r="Y96" s="232">
        <f t="shared" si="179"/>
        <v>0</v>
      </c>
      <c r="Z96" s="232">
        <f t="shared" si="179"/>
        <v>0</v>
      </c>
      <c r="AA96" s="232">
        <f t="shared" si="179"/>
        <v>0</v>
      </c>
      <c r="AB96" s="232">
        <f>AC96+AD96+AE96+AF96</f>
        <v>1415.4660000000001</v>
      </c>
      <c r="AC96" s="232"/>
      <c r="AD96" s="232">
        <f aca="true" t="shared" si="182" ref="AD96:AF98">T96</f>
        <v>406.026</v>
      </c>
      <c r="AE96" s="232">
        <f t="shared" si="182"/>
        <v>0</v>
      </c>
      <c r="AF96" s="232">
        <f t="shared" si="182"/>
        <v>1009.44</v>
      </c>
      <c r="AG96" s="232">
        <f>AH96+AI96+AJ96+AK96</f>
        <v>0</v>
      </c>
      <c r="AH96" s="232"/>
      <c r="AI96" s="232"/>
      <c r="AJ96" s="232"/>
      <c r="AK96" s="236"/>
      <c r="AL96" s="234">
        <f>AM96+AN96+AO96+AP96</f>
        <v>1415.4660000000001</v>
      </c>
      <c r="AM96" s="232"/>
      <c r="AN96" s="232">
        <f aca="true" t="shared" si="183" ref="AN96:AP98">AD96</f>
        <v>406.026</v>
      </c>
      <c r="AO96" s="232"/>
      <c r="AP96" s="235">
        <f t="shared" si="183"/>
        <v>1009.44</v>
      </c>
      <c r="AQ96" s="232">
        <f>AR96+AS96+AT96+AU96</f>
        <v>1196.06864</v>
      </c>
      <c r="AR96" s="232"/>
      <c r="AS96" s="232">
        <f>343.09193</f>
        <v>343.09193</v>
      </c>
      <c r="AT96" s="232"/>
      <c r="AU96" s="232">
        <f>498.35644+354.62027</f>
        <v>852.97671</v>
      </c>
      <c r="AV96" s="232">
        <f>AW96+AX96+AY96+AZ96</f>
        <v>1196.06864</v>
      </c>
      <c r="AW96" s="232"/>
      <c r="AX96" s="232">
        <f>343.09193</f>
        <v>343.09193</v>
      </c>
      <c r="AY96" s="232"/>
      <c r="AZ96" s="232">
        <f>498.35644+354.62027</f>
        <v>852.97671</v>
      </c>
      <c r="BA96" s="232">
        <f>BB96+BC96+BD96+BE96</f>
        <v>128.19071</v>
      </c>
      <c r="BB96" s="232"/>
      <c r="BC96" s="232">
        <v>83.29671</v>
      </c>
      <c r="BD96" s="232"/>
      <c r="BE96" s="232">
        <v>44.894</v>
      </c>
      <c r="BF96" s="232">
        <f>BG96+BH96+BI96+BJ96</f>
        <v>128.19071</v>
      </c>
      <c r="BG96" s="232"/>
      <c r="BH96" s="232">
        <v>83.29671</v>
      </c>
      <c r="BI96" s="232"/>
      <c r="BJ96" s="232">
        <v>44.894</v>
      </c>
      <c r="BK96" s="232">
        <f>BL96+BM96+BN96+BO96</f>
        <v>1324.25935</v>
      </c>
      <c r="BL96" s="232">
        <f t="shared" si="180"/>
        <v>0</v>
      </c>
      <c r="BM96" s="232">
        <f t="shared" si="180"/>
        <v>426.38864</v>
      </c>
      <c r="BN96" s="232">
        <f t="shared" si="180"/>
        <v>0</v>
      </c>
      <c r="BO96" s="232">
        <f t="shared" si="180"/>
        <v>897.87071</v>
      </c>
      <c r="BP96" s="316">
        <f>BQ96+BR96+BS96+BT96</f>
        <v>219.39736000000005</v>
      </c>
      <c r="BQ96" s="317">
        <f t="shared" si="181"/>
        <v>0</v>
      </c>
      <c r="BR96" s="317">
        <f t="shared" si="181"/>
        <v>62.93407000000002</v>
      </c>
      <c r="BS96" s="317">
        <f t="shared" si="181"/>
        <v>0</v>
      </c>
      <c r="BT96" s="317">
        <f t="shared" si="181"/>
        <v>156.46329000000003</v>
      </c>
      <c r="BU96" s="229">
        <v>1</v>
      </c>
      <c r="BV96" s="305"/>
      <c r="BW96" s="331" t="s">
        <v>261</v>
      </c>
      <c r="BY96" s="232">
        <v>219.4</v>
      </c>
      <c r="BZ96" s="232">
        <v>1</v>
      </c>
      <c r="CA96" s="317"/>
      <c r="CB96" s="232"/>
      <c r="CC96" s="232"/>
    </row>
    <row r="97" spans="1:81" s="229" customFormat="1" ht="22.5" customHeight="1">
      <c r="A97" s="230">
        <v>74</v>
      </c>
      <c r="B97" s="239" t="s">
        <v>125</v>
      </c>
      <c r="C97" s="232">
        <f>E97+D97+F97</f>
        <v>1631.789</v>
      </c>
      <c r="D97" s="233"/>
      <c r="E97" s="232">
        <f>M97</f>
        <v>1631.789</v>
      </c>
      <c r="F97" s="233"/>
      <c r="G97" s="232"/>
      <c r="H97" s="232">
        <f>I97+J97+K97</f>
        <v>1701.78901</v>
      </c>
      <c r="I97" s="233"/>
      <c r="J97" s="232">
        <f>AL97</f>
        <v>1631.789</v>
      </c>
      <c r="K97" s="232">
        <f>BF97</f>
        <v>70.00001</v>
      </c>
      <c r="L97" s="240"/>
      <c r="M97" s="232">
        <f t="shared" si="164"/>
        <v>1631.789</v>
      </c>
      <c r="N97" s="232"/>
      <c r="O97" s="232">
        <f>1635.947-4.158</f>
        <v>1631.789</v>
      </c>
      <c r="P97" s="232"/>
      <c r="Q97" s="232"/>
      <c r="R97" s="234">
        <f>S97+T97+U97+V97</f>
        <v>1631.789</v>
      </c>
      <c r="S97" s="232"/>
      <c r="T97" s="232">
        <v>1631.789</v>
      </c>
      <c r="U97" s="232"/>
      <c r="V97" s="235"/>
      <c r="W97" s="232">
        <f>X97+Y97+Z97+AA97</f>
        <v>0</v>
      </c>
      <c r="X97" s="232">
        <f t="shared" si="179"/>
        <v>0</v>
      </c>
      <c r="Y97" s="232">
        <f t="shared" si="179"/>
        <v>0</v>
      </c>
      <c r="Z97" s="232">
        <f t="shared" si="179"/>
        <v>0</v>
      </c>
      <c r="AA97" s="232">
        <f t="shared" si="179"/>
        <v>0</v>
      </c>
      <c r="AB97" s="232">
        <f>AC97+AD97+AE97+AF97</f>
        <v>1631.789</v>
      </c>
      <c r="AC97" s="232"/>
      <c r="AD97" s="232">
        <f t="shared" si="182"/>
        <v>1631.789</v>
      </c>
      <c r="AE97" s="232">
        <f t="shared" si="182"/>
        <v>0</v>
      </c>
      <c r="AF97" s="232">
        <f t="shared" si="182"/>
        <v>0</v>
      </c>
      <c r="AG97" s="232">
        <f>AH97+AI97+AJ97+AK97</f>
        <v>0</v>
      </c>
      <c r="AH97" s="232"/>
      <c r="AI97" s="232"/>
      <c r="AJ97" s="232"/>
      <c r="AK97" s="236"/>
      <c r="AL97" s="234">
        <f>AM97+AN97+AO97+AP97</f>
        <v>1631.789</v>
      </c>
      <c r="AM97" s="232"/>
      <c r="AN97" s="232">
        <f t="shared" si="183"/>
        <v>1631.789</v>
      </c>
      <c r="AO97" s="232"/>
      <c r="AP97" s="235"/>
      <c r="AQ97" s="232">
        <f>AR97+AS97+AT97+AU97</f>
        <v>1329.998</v>
      </c>
      <c r="AR97" s="232"/>
      <c r="AS97" s="232">
        <f>1329.99811-0.00011</f>
        <v>1329.998</v>
      </c>
      <c r="AT97" s="232"/>
      <c r="AU97" s="232"/>
      <c r="AV97" s="232">
        <f>AW97+AX97+AY97+AZ97</f>
        <v>1329.998</v>
      </c>
      <c r="AW97" s="232"/>
      <c r="AX97" s="232">
        <f>1329.99811-0.00011</f>
        <v>1329.998</v>
      </c>
      <c r="AY97" s="232"/>
      <c r="AZ97" s="232"/>
      <c r="BA97" s="232">
        <f>BB97+BC97+BD97+BE97</f>
        <v>70.00001</v>
      </c>
      <c r="BB97" s="232"/>
      <c r="BC97" s="232">
        <v>70.00001</v>
      </c>
      <c r="BD97" s="232"/>
      <c r="BE97" s="232"/>
      <c r="BF97" s="232">
        <f>BG97+BH97+BI97+BJ97</f>
        <v>70.00001</v>
      </c>
      <c r="BG97" s="232"/>
      <c r="BH97" s="232">
        <v>70.00001</v>
      </c>
      <c r="BI97" s="232"/>
      <c r="BJ97" s="232"/>
      <c r="BK97" s="232">
        <f>BL97+BM97+BN97+BO97</f>
        <v>1399.99801</v>
      </c>
      <c r="BL97" s="232">
        <f t="shared" si="180"/>
        <v>0</v>
      </c>
      <c r="BM97" s="232">
        <f t="shared" si="180"/>
        <v>1399.99801</v>
      </c>
      <c r="BN97" s="232">
        <f t="shared" si="180"/>
        <v>0</v>
      </c>
      <c r="BO97" s="232">
        <f t="shared" si="180"/>
        <v>0</v>
      </c>
      <c r="BP97" s="316">
        <f>BQ97+BR97+BS97+BT97</f>
        <v>301.79099999999994</v>
      </c>
      <c r="BQ97" s="317">
        <f t="shared" si="181"/>
        <v>0</v>
      </c>
      <c r="BR97" s="317">
        <f t="shared" si="181"/>
        <v>301.79099999999994</v>
      </c>
      <c r="BS97" s="317">
        <f t="shared" si="181"/>
        <v>0</v>
      </c>
      <c r="BT97" s="317">
        <f t="shared" si="181"/>
        <v>0</v>
      </c>
      <c r="BU97" s="229">
        <v>1</v>
      </c>
      <c r="BV97" s="305"/>
      <c r="BW97" s="331" t="s">
        <v>262</v>
      </c>
      <c r="BY97" s="232">
        <v>301.8</v>
      </c>
      <c r="BZ97" s="232">
        <v>1</v>
      </c>
      <c r="CA97" s="317"/>
      <c r="CB97" s="232"/>
      <c r="CC97" s="232"/>
    </row>
    <row r="98" spans="1:81" s="229" customFormat="1" ht="13.5" customHeight="1">
      <c r="A98" s="230">
        <v>75</v>
      </c>
      <c r="B98" s="239" t="s">
        <v>126</v>
      </c>
      <c r="C98" s="232">
        <f>E98+D98+F98</f>
        <v>1431.737</v>
      </c>
      <c r="D98" s="233"/>
      <c r="E98" s="232">
        <f>M98</f>
        <v>1431.737</v>
      </c>
      <c r="F98" s="233"/>
      <c r="G98" s="232"/>
      <c r="H98" s="232">
        <f>I98+J98+K98</f>
        <v>1516.47903</v>
      </c>
      <c r="I98" s="233"/>
      <c r="J98" s="232">
        <f>AL98</f>
        <v>1431.737</v>
      </c>
      <c r="K98" s="232">
        <f>BF98</f>
        <v>84.74203</v>
      </c>
      <c r="L98" s="240"/>
      <c r="M98" s="232">
        <f t="shared" si="164"/>
        <v>1431.737</v>
      </c>
      <c r="N98" s="232"/>
      <c r="O98" s="232">
        <v>1431.737</v>
      </c>
      <c r="P98" s="232"/>
      <c r="Q98" s="232"/>
      <c r="R98" s="234">
        <f>S98+T98+U98+V98</f>
        <v>1431.737</v>
      </c>
      <c r="S98" s="232"/>
      <c r="T98" s="232">
        <v>1431.737</v>
      </c>
      <c r="U98" s="232"/>
      <c r="V98" s="235"/>
      <c r="W98" s="232">
        <f>X98+Y98+Z98+AA98</f>
        <v>0</v>
      </c>
      <c r="X98" s="232">
        <f t="shared" si="179"/>
        <v>0</v>
      </c>
      <c r="Y98" s="232">
        <f t="shared" si="179"/>
        <v>0</v>
      </c>
      <c r="Z98" s="232">
        <f t="shared" si="179"/>
        <v>0</v>
      </c>
      <c r="AA98" s="232">
        <f t="shared" si="179"/>
        <v>0</v>
      </c>
      <c r="AB98" s="232">
        <f>AC98+AD98+AE98+AF98</f>
        <v>1431.737</v>
      </c>
      <c r="AC98" s="232"/>
      <c r="AD98" s="232">
        <f t="shared" si="182"/>
        <v>1431.737</v>
      </c>
      <c r="AE98" s="232">
        <f t="shared" si="182"/>
        <v>0</v>
      </c>
      <c r="AF98" s="232">
        <f t="shared" si="182"/>
        <v>0</v>
      </c>
      <c r="AG98" s="232">
        <f>AH98+AI98+AJ98+AK98</f>
        <v>0</v>
      </c>
      <c r="AH98" s="232"/>
      <c r="AI98" s="232"/>
      <c r="AJ98" s="232"/>
      <c r="AK98" s="236"/>
      <c r="AL98" s="234">
        <f>AM98+AN98+AO98+AP98</f>
        <v>1431.737</v>
      </c>
      <c r="AM98" s="232"/>
      <c r="AN98" s="232">
        <f t="shared" si="183"/>
        <v>1431.737</v>
      </c>
      <c r="AO98" s="232"/>
      <c r="AP98" s="235"/>
      <c r="AQ98" s="232">
        <f>AR98+AS98+AT98+AU98</f>
        <v>1431.737</v>
      </c>
      <c r="AR98" s="232"/>
      <c r="AS98" s="232">
        <v>1431.737</v>
      </c>
      <c r="AT98" s="232"/>
      <c r="AU98" s="232"/>
      <c r="AV98" s="232">
        <f>AW98+AX98+AY98+AZ98</f>
        <v>1431.737</v>
      </c>
      <c r="AW98" s="232"/>
      <c r="AX98" s="232">
        <v>1431.737</v>
      </c>
      <c r="AY98" s="232"/>
      <c r="AZ98" s="232"/>
      <c r="BA98" s="232">
        <f>BB98+BC98+BD98+BE98</f>
        <v>84.74203</v>
      </c>
      <c r="BB98" s="232"/>
      <c r="BC98" s="232">
        <v>84.74203</v>
      </c>
      <c r="BD98" s="232"/>
      <c r="BE98" s="232"/>
      <c r="BF98" s="232">
        <f>BG98+BH98+BI98+BJ98</f>
        <v>84.74203</v>
      </c>
      <c r="BG98" s="232"/>
      <c r="BH98" s="232">
        <v>84.74203</v>
      </c>
      <c r="BI98" s="232"/>
      <c r="BJ98" s="232"/>
      <c r="BK98" s="232">
        <f>BL98+BM98+BN98+BO98</f>
        <v>1516.47903</v>
      </c>
      <c r="BL98" s="232">
        <f t="shared" si="180"/>
        <v>0</v>
      </c>
      <c r="BM98" s="232">
        <f t="shared" si="180"/>
        <v>1516.47903</v>
      </c>
      <c r="BN98" s="232">
        <f t="shared" si="180"/>
        <v>0</v>
      </c>
      <c r="BO98" s="232">
        <f t="shared" si="180"/>
        <v>0</v>
      </c>
      <c r="BP98" s="316">
        <f>BQ98+BR98+BS98+BT98</f>
        <v>0</v>
      </c>
      <c r="BQ98" s="317">
        <f t="shared" si="181"/>
        <v>0</v>
      </c>
      <c r="BR98" s="317">
        <f t="shared" si="181"/>
        <v>0</v>
      </c>
      <c r="BS98" s="317">
        <f t="shared" si="181"/>
        <v>0</v>
      </c>
      <c r="BT98" s="317">
        <f t="shared" si="181"/>
        <v>0</v>
      </c>
      <c r="BU98" s="229">
        <v>1</v>
      </c>
      <c r="BV98" s="305"/>
      <c r="BW98" s="331" t="s">
        <v>228</v>
      </c>
      <c r="BY98" s="232"/>
      <c r="BZ98" s="232">
        <v>1</v>
      </c>
      <c r="CA98" s="317"/>
      <c r="CB98" s="232"/>
      <c r="CC98" s="232"/>
    </row>
    <row r="99" spans="1:81" s="229" customFormat="1" ht="21.75" customHeight="1">
      <c r="A99" s="238"/>
      <c r="B99" s="301" t="s">
        <v>6</v>
      </c>
      <c r="C99" s="228">
        <f aca="true" t="shared" si="184" ref="C99:K99">SUM(C100:C109)</f>
        <v>25879.019</v>
      </c>
      <c r="D99" s="228">
        <f t="shared" si="184"/>
        <v>0</v>
      </c>
      <c r="E99" s="228">
        <f t="shared" si="184"/>
        <v>25879.019</v>
      </c>
      <c r="F99" s="228">
        <f t="shared" si="184"/>
        <v>0</v>
      </c>
      <c r="G99" s="228">
        <f t="shared" si="184"/>
        <v>0</v>
      </c>
      <c r="H99" s="228">
        <f t="shared" si="184"/>
        <v>30021.65335</v>
      </c>
      <c r="I99" s="228">
        <f t="shared" si="184"/>
        <v>0</v>
      </c>
      <c r="J99" s="228">
        <f t="shared" si="184"/>
        <v>25851.603140000003</v>
      </c>
      <c r="K99" s="228">
        <f t="shared" si="184"/>
        <v>4170.050209999999</v>
      </c>
      <c r="L99" s="224"/>
      <c r="M99" s="223">
        <f t="shared" si="164"/>
        <v>25879.019000000004</v>
      </c>
      <c r="N99" s="223">
        <f>SUM(N100:N109)</f>
        <v>0</v>
      </c>
      <c r="O99" s="223">
        <f>SUM(O100:O109)</f>
        <v>23351.182000000004</v>
      </c>
      <c r="P99" s="223">
        <f>SUM(P100:P109)</f>
        <v>0</v>
      </c>
      <c r="Q99" s="223">
        <f>SUM(Q100:Q109)</f>
        <v>2527.837</v>
      </c>
      <c r="R99" s="225">
        <f aca="true" t="shared" si="185" ref="R99:AP99">SUM(R100:R109)</f>
        <v>25851.603140000003</v>
      </c>
      <c r="S99" s="223">
        <f t="shared" si="185"/>
        <v>0</v>
      </c>
      <c r="T99" s="223">
        <f t="shared" si="185"/>
        <v>23323.766140000003</v>
      </c>
      <c r="U99" s="223">
        <f t="shared" si="185"/>
        <v>0</v>
      </c>
      <c r="V99" s="226">
        <f t="shared" si="185"/>
        <v>2527.837</v>
      </c>
      <c r="W99" s="223">
        <f t="shared" si="185"/>
        <v>27.415860000000066</v>
      </c>
      <c r="X99" s="223">
        <f t="shared" si="185"/>
        <v>0</v>
      </c>
      <c r="Y99" s="223">
        <f t="shared" si="185"/>
        <v>27.415860000000066</v>
      </c>
      <c r="Z99" s="223">
        <f t="shared" si="185"/>
        <v>0</v>
      </c>
      <c r="AA99" s="223">
        <f t="shared" si="185"/>
        <v>0</v>
      </c>
      <c r="AB99" s="223">
        <f t="shared" si="185"/>
        <v>25859.482140000004</v>
      </c>
      <c r="AC99" s="223">
        <f t="shared" si="185"/>
        <v>0</v>
      </c>
      <c r="AD99" s="223">
        <f t="shared" si="185"/>
        <v>23323.766140000003</v>
      </c>
      <c r="AE99" s="223">
        <f t="shared" si="185"/>
        <v>0</v>
      </c>
      <c r="AF99" s="223">
        <f t="shared" si="185"/>
        <v>2535.716</v>
      </c>
      <c r="AG99" s="223">
        <f t="shared" si="185"/>
        <v>35.29486</v>
      </c>
      <c r="AH99" s="223">
        <f t="shared" si="185"/>
        <v>0</v>
      </c>
      <c r="AI99" s="223">
        <f t="shared" si="185"/>
        <v>27.41586</v>
      </c>
      <c r="AJ99" s="223">
        <f t="shared" si="185"/>
        <v>0</v>
      </c>
      <c r="AK99" s="227">
        <f t="shared" si="185"/>
        <v>7.879</v>
      </c>
      <c r="AL99" s="225">
        <f t="shared" si="185"/>
        <v>25851.603140000003</v>
      </c>
      <c r="AM99" s="223">
        <f t="shared" si="185"/>
        <v>0</v>
      </c>
      <c r="AN99" s="223">
        <f t="shared" si="185"/>
        <v>23323.766140000003</v>
      </c>
      <c r="AO99" s="223">
        <f t="shared" si="185"/>
        <v>0</v>
      </c>
      <c r="AP99" s="226">
        <f t="shared" si="185"/>
        <v>2527.837</v>
      </c>
      <c r="AQ99" s="223">
        <f aca="true" t="shared" si="186" ref="AQ99:BE99">SUM(AQ100:AQ109)</f>
        <v>24820.67829</v>
      </c>
      <c r="AR99" s="223">
        <f t="shared" si="186"/>
        <v>0</v>
      </c>
      <c r="AS99" s="223">
        <f t="shared" si="186"/>
        <v>22366.030099999996</v>
      </c>
      <c r="AT99" s="223">
        <f t="shared" si="186"/>
        <v>0</v>
      </c>
      <c r="AU99" s="223">
        <f t="shared" si="186"/>
        <v>2454.64819</v>
      </c>
      <c r="AV99" s="223">
        <f t="shared" si="186"/>
        <v>24820.67829</v>
      </c>
      <c r="AW99" s="223">
        <f t="shared" si="186"/>
        <v>0</v>
      </c>
      <c r="AX99" s="223">
        <f t="shared" si="186"/>
        <v>22366.030099999996</v>
      </c>
      <c r="AY99" s="223">
        <f t="shared" si="186"/>
        <v>0</v>
      </c>
      <c r="AZ99" s="223">
        <f t="shared" si="186"/>
        <v>2454.64819</v>
      </c>
      <c r="BA99" s="223">
        <f t="shared" si="186"/>
        <v>4170.050209999999</v>
      </c>
      <c r="BB99" s="223">
        <f t="shared" si="186"/>
        <v>0</v>
      </c>
      <c r="BC99" s="223">
        <f t="shared" si="186"/>
        <v>4040.23044</v>
      </c>
      <c r="BD99" s="223">
        <f t="shared" si="186"/>
        <v>0</v>
      </c>
      <c r="BE99" s="223">
        <f t="shared" si="186"/>
        <v>129.81977</v>
      </c>
      <c r="BF99" s="223">
        <f aca="true" t="shared" si="187" ref="BF99:BT99">SUM(BF100:BF109)</f>
        <v>4170.050209999999</v>
      </c>
      <c r="BG99" s="223">
        <f t="shared" si="187"/>
        <v>0</v>
      </c>
      <c r="BH99" s="223">
        <f t="shared" si="187"/>
        <v>4040.23044</v>
      </c>
      <c r="BI99" s="223">
        <f t="shared" si="187"/>
        <v>0</v>
      </c>
      <c r="BJ99" s="223">
        <f t="shared" si="187"/>
        <v>129.81977</v>
      </c>
      <c r="BK99" s="223">
        <f t="shared" si="187"/>
        <v>28990.7285</v>
      </c>
      <c r="BL99" s="223">
        <f t="shared" si="187"/>
        <v>0</v>
      </c>
      <c r="BM99" s="223">
        <f t="shared" si="187"/>
        <v>26406.26054</v>
      </c>
      <c r="BN99" s="223">
        <f t="shared" si="187"/>
        <v>0</v>
      </c>
      <c r="BO99" s="223">
        <f t="shared" si="187"/>
        <v>2584.46796</v>
      </c>
      <c r="BP99" s="314">
        <f t="shared" si="187"/>
        <v>1030.9248500000003</v>
      </c>
      <c r="BQ99" s="315">
        <f t="shared" si="187"/>
        <v>0</v>
      </c>
      <c r="BR99" s="315">
        <f t="shared" si="187"/>
        <v>957.7360400000005</v>
      </c>
      <c r="BS99" s="315">
        <f t="shared" si="187"/>
        <v>0</v>
      </c>
      <c r="BT99" s="315">
        <f t="shared" si="187"/>
        <v>73.18881000000005</v>
      </c>
      <c r="BV99" s="305"/>
      <c r="BW99" s="349" t="s">
        <v>287</v>
      </c>
      <c r="BY99" s="223">
        <f>SUM(BY100:BY109)</f>
        <v>1030.9</v>
      </c>
      <c r="BZ99" s="223">
        <f>SUM(BZ100:BZ109)</f>
        <v>10</v>
      </c>
      <c r="CA99" s="315">
        <f>SUM(CA100:CA109)</f>
        <v>0</v>
      </c>
      <c r="CB99" s="223">
        <f>SUM(CB100:CB109)</f>
        <v>0</v>
      </c>
      <c r="CC99" s="223">
        <f>SUM(CC100:CC109)</f>
        <v>0</v>
      </c>
    </row>
    <row r="100" spans="1:81" s="229" customFormat="1" ht="15" customHeight="1">
      <c r="A100" s="261">
        <v>76</v>
      </c>
      <c r="B100" s="268" t="s">
        <v>6</v>
      </c>
      <c r="C100" s="232">
        <f aca="true" t="shared" si="188" ref="C100:C109">E100+D100+F100</f>
        <v>5263.794</v>
      </c>
      <c r="D100" s="233"/>
      <c r="E100" s="232">
        <f aca="true" t="shared" si="189" ref="E100:E109">M100</f>
        <v>5263.794</v>
      </c>
      <c r="F100" s="233"/>
      <c r="G100" s="232"/>
      <c r="H100" s="232">
        <f aca="true" t="shared" si="190" ref="H100:H109">I100+J100+K100</f>
        <v>6894.777319999999</v>
      </c>
      <c r="I100" s="233"/>
      <c r="J100" s="232">
        <f aca="true" t="shared" si="191" ref="J100:J109">AL100</f>
        <v>5236.37814</v>
      </c>
      <c r="K100" s="232">
        <f aca="true" t="shared" si="192" ref="K100:K109">BF100</f>
        <v>1658.39918</v>
      </c>
      <c r="L100" s="269"/>
      <c r="M100" s="264">
        <f t="shared" si="164"/>
        <v>5263.794</v>
      </c>
      <c r="N100" s="264"/>
      <c r="O100" s="264">
        <v>5263.794</v>
      </c>
      <c r="P100" s="264"/>
      <c r="Q100" s="264"/>
      <c r="R100" s="234">
        <f aca="true" t="shared" si="193" ref="R100:R109">S100+T100+U100+V100</f>
        <v>5236.37814</v>
      </c>
      <c r="S100" s="264"/>
      <c r="T100" s="232">
        <f>5263.794-27.41586</f>
        <v>5236.37814</v>
      </c>
      <c r="U100" s="264"/>
      <c r="V100" s="265"/>
      <c r="W100" s="232">
        <f aca="true" t="shared" si="194" ref="W100:W109">X100+Y100+Z100+AA100</f>
        <v>27.415860000000066</v>
      </c>
      <c r="X100" s="232">
        <f aca="true" t="shared" si="195" ref="X100:AA109">N100-S100</f>
        <v>0</v>
      </c>
      <c r="Y100" s="232">
        <f t="shared" si="195"/>
        <v>27.415860000000066</v>
      </c>
      <c r="Z100" s="232">
        <f t="shared" si="195"/>
        <v>0</v>
      </c>
      <c r="AA100" s="232">
        <f t="shared" si="195"/>
        <v>0</v>
      </c>
      <c r="AB100" s="232">
        <f aca="true" t="shared" si="196" ref="AB100:AB109">AC100+AD100+AE100+AF100</f>
        <v>5236.37814</v>
      </c>
      <c r="AC100" s="232"/>
      <c r="AD100" s="232">
        <f aca="true" t="shared" si="197" ref="AD100:AF109">T100</f>
        <v>5236.37814</v>
      </c>
      <c r="AE100" s="232">
        <f t="shared" si="197"/>
        <v>0</v>
      </c>
      <c r="AF100" s="232">
        <f t="shared" si="197"/>
        <v>0</v>
      </c>
      <c r="AG100" s="232">
        <f aca="true" t="shared" si="198" ref="AG100:AG109">AH100+AI100+AJ100+AK100</f>
        <v>27.41586</v>
      </c>
      <c r="AH100" s="232"/>
      <c r="AI100" s="232">
        <v>27.41586</v>
      </c>
      <c r="AJ100" s="232"/>
      <c r="AK100" s="236"/>
      <c r="AL100" s="234">
        <f aca="true" t="shared" si="199" ref="AL100:AL109">AM100+AN100+AO100+AP100</f>
        <v>5236.37814</v>
      </c>
      <c r="AM100" s="232"/>
      <c r="AN100" s="232">
        <v>5236.37814</v>
      </c>
      <c r="AO100" s="232"/>
      <c r="AP100" s="235"/>
      <c r="AQ100" s="232">
        <f aca="true" t="shared" si="200" ref="AQ100:AQ109">AR100+AS100+AT100+AU100</f>
        <v>5236.37814</v>
      </c>
      <c r="AR100" s="232"/>
      <c r="AS100" s="232">
        <v>5236.37814</v>
      </c>
      <c r="AT100" s="232"/>
      <c r="AU100" s="232"/>
      <c r="AV100" s="232">
        <f aca="true" t="shared" si="201" ref="AV100:AV109">AW100+AX100+AY100+AZ100</f>
        <v>5236.37814</v>
      </c>
      <c r="AW100" s="232"/>
      <c r="AX100" s="232">
        <v>5236.37814</v>
      </c>
      <c r="AY100" s="232"/>
      <c r="AZ100" s="232"/>
      <c r="BA100" s="232">
        <f aca="true" t="shared" si="202" ref="BA100:BA109">BB100+BC100+BD100+BE100</f>
        <v>1658.39918</v>
      </c>
      <c r="BB100" s="232"/>
      <c r="BC100" s="232">
        <v>1658.39918</v>
      </c>
      <c r="BD100" s="232"/>
      <c r="BE100" s="232"/>
      <c r="BF100" s="232">
        <f aca="true" t="shared" si="203" ref="BF100:BF109">BG100+BH100+BI100+BJ100</f>
        <v>1658.39918</v>
      </c>
      <c r="BG100" s="232"/>
      <c r="BH100" s="232">
        <v>1658.39918</v>
      </c>
      <c r="BI100" s="232"/>
      <c r="BJ100" s="232"/>
      <c r="BK100" s="232">
        <f aca="true" t="shared" si="204" ref="BK100:BK109">BL100+BM100+BN100+BO100</f>
        <v>6894.777319999999</v>
      </c>
      <c r="BL100" s="232">
        <f aca="true" t="shared" si="205" ref="BL100:BL109">AW100+BG100</f>
        <v>0</v>
      </c>
      <c r="BM100" s="232">
        <f aca="true" t="shared" si="206" ref="BM100:BM109">AX100+BH100</f>
        <v>6894.777319999999</v>
      </c>
      <c r="BN100" s="232">
        <f aca="true" t="shared" si="207" ref="BN100:BN109">AY100+BI100</f>
        <v>0</v>
      </c>
      <c r="BO100" s="232">
        <f aca="true" t="shared" si="208" ref="BO100:BO109">AZ100+BJ100</f>
        <v>0</v>
      </c>
      <c r="BP100" s="316">
        <f aca="true" t="shared" si="209" ref="BP100:BP109">BQ100+BR100+BS100+BT100</f>
        <v>0</v>
      </c>
      <c r="BQ100" s="317">
        <f aca="true" t="shared" si="210" ref="BQ100:BQ109">AM100-AW100</f>
        <v>0</v>
      </c>
      <c r="BR100" s="317">
        <f aca="true" t="shared" si="211" ref="BR100:BR109">AN100-AX100</f>
        <v>0</v>
      </c>
      <c r="BS100" s="317">
        <f aca="true" t="shared" si="212" ref="BS100:BS109">AO100-AY100</f>
        <v>0</v>
      </c>
      <c r="BT100" s="317">
        <f aca="true" t="shared" si="213" ref="BT100:BT109">AP100-AZ100</f>
        <v>0</v>
      </c>
      <c r="BU100" s="229">
        <v>1</v>
      </c>
      <c r="BV100" s="305"/>
      <c r="BW100" s="331" t="s">
        <v>228</v>
      </c>
      <c r="BY100" s="232"/>
      <c r="BZ100" s="232">
        <v>1</v>
      </c>
      <c r="CA100" s="317"/>
      <c r="CB100" s="232"/>
      <c r="CC100" s="232"/>
    </row>
    <row r="101" spans="1:81" s="229" customFormat="1" ht="20.25" customHeight="1">
      <c r="A101" s="261">
        <v>77</v>
      </c>
      <c r="B101" s="231" t="s">
        <v>13</v>
      </c>
      <c r="C101" s="232">
        <f t="shared" si="188"/>
        <v>2689.683</v>
      </c>
      <c r="D101" s="233"/>
      <c r="E101" s="232">
        <f t="shared" si="189"/>
        <v>2689.683</v>
      </c>
      <c r="F101" s="233"/>
      <c r="G101" s="232"/>
      <c r="H101" s="232">
        <f t="shared" si="190"/>
        <v>2950.0433199999998</v>
      </c>
      <c r="I101" s="233"/>
      <c r="J101" s="232">
        <f t="shared" si="191"/>
        <v>2689.683</v>
      </c>
      <c r="K101" s="232">
        <f t="shared" si="192"/>
        <v>260.36032</v>
      </c>
      <c r="L101" s="233"/>
      <c r="M101" s="232">
        <f t="shared" si="164"/>
        <v>2689.683</v>
      </c>
      <c r="N101" s="232"/>
      <c r="O101" s="232">
        <v>1440.179</v>
      </c>
      <c r="P101" s="232"/>
      <c r="Q101" s="232">
        <v>1249.504</v>
      </c>
      <c r="R101" s="234">
        <f t="shared" si="193"/>
        <v>2689.683</v>
      </c>
      <c r="S101" s="232"/>
      <c r="T101" s="232">
        <v>1440.179</v>
      </c>
      <c r="U101" s="232"/>
      <c r="V101" s="235">
        <v>1249.504</v>
      </c>
      <c r="W101" s="232">
        <f t="shared" si="194"/>
        <v>0</v>
      </c>
      <c r="X101" s="232">
        <f t="shared" si="195"/>
        <v>0</v>
      </c>
      <c r="Y101" s="232">
        <f t="shared" si="195"/>
        <v>0</v>
      </c>
      <c r="Z101" s="232">
        <f t="shared" si="195"/>
        <v>0</v>
      </c>
      <c r="AA101" s="232">
        <f t="shared" si="195"/>
        <v>0</v>
      </c>
      <c r="AB101" s="232">
        <f t="shared" si="196"/>
        <v>2689.683</v>
      </c>
      <c r="AC101" s="232"/>
      <c r="AD101" s="232">
        <f t="shared" si="197"/>
        <v>1440.179</v>
      </c>
      <c r="AE101" s="232">
        <f t="shared" si="197"/>
        <v>0</v>
      </c>
      <c r="AF101" s="232">
        <f t="shared" si="197"/>
        <v>1249.504</v>
      </c>
      <c r="AG101" s="232">
        <f t="shared" si="198"/>
        <v>0</v>
      </c>
      <c r="AH101" s="232"/>
      <c r="AI101" s="232"/>
      <c r="AJ101" s="232"/>
      <c r="AK101" s="236"/>
      <c r="AL101" s="234">
        <f t="shared" si="199"/>
        <v>2689.683</v>
      </c>
      <c r="AM101" s="232"/>
      <c r="AN101" s="232">
        <f aca="true" t="shared" si="214" ref="AN101:AN109">AD101</f>
        <v>1440.179</v>
      </c>
      <c r="AO101" s="232"/>
      <c r="AP101" s="235">
        <f>AF101</f>
        <v>1249.504</v>
      </c>
      <c r="AQ101" s="232">
        <f t="shared" si="200"/>
        <v>2666.058</v>
      </c>
      <c r="AR101" s="232"/>
      <c r="AS101" s="232">
        <v>1440.179</v>
      </c>
      <c r="AT101" s="232"/>
      <c r="AU101" s="232">
        <v>1225.879</v>
      </c>
      <c r="AV101" s="232">
        <f t="shared" si="201"/>
        <v>2666.058</v>
      </c>
      <c r="AW101" s="232"/>
      <c r="AX101" s="232">
        <v>1440.179</v>
      </c>
      <c r="AY101" s="232"/>
      <c r="AZ101" s="232">
        <v>1225.879</v>
      </c>
      <c r="BA101" s="232">
        <f t="shared" si="202"/>
        <v>260.36032</v>
      </c>
      <c r="BB101" s="232"/>
      <c r="BC101" s="232">
        <v>195.83933</v>
      </c>
      <c r="BD101" s="232"/>
      <c r="BE101" s="232">
        <v>64.52099</v>
      </c>
      <c r="BF101" s="232">
        <f t="shared" si="203"/>
        <v>260.36032</v>
      </c>
      <c r="BG101" s="232"/>
      <c r="BH101" s="232">
        <v>195.83933</v>
      </c>
      <c r="BI101" s="232"/>
      <c r="BJ101" s="232">
        <v>64.52099</v>
      </c>
      <c r="BK101" s="232">
        <f t="shared" si="204"/>
        <v>2926.4183199999998</v>
      </c>
      <c r="BL101" s="232">
        <f t="shared" si="205"/>
        <v>0</v>
      </c>
      <c r="BM101" s="232">
        <f t="shared" si="206"/>
        <v>1636.01833</v>
      </c>
      <c r="BN101" s="232">
        <f t="shared" si="207"/>
        <v>0</v>
      </c>
      <c r="BO101" s="232">
        <f t="shared" si="208"/>
        <v>1290.39999</v>
      </c>
      <c r="BP101" s="316">
        <f t="shared" si="209"/>
        <v>23.625</v>
      </c>
      <c r="BQ101" s="317">
        <f t="shared" si="210"/>
        <v>0</v>
      </c>
      <c r="BR101" s="317">
        <f t="shared" si="211"/>
        <v>0</v>
      </c>
      <c r="BS101" s="317">
        <f t="shared" si="212"/>
        <v>0</v>
      </c>
      <c r="BT101" s="317">
        <f t="shared" si="213"/>
        <v>23.625</v>
      </c>
      <c r="BU101" s="229">
        <v>1</v>
      </c>
      <c r="BV101" s="305"/>
      <c r="BW101" s="331" t="s">
        <v>256</v>
      </c>
      <c r="BY101" s="232">
        <v>23.6</v>
      </c>
      <c r="BZ101" s="232">
        <v>1</v>
      </c>
      <c r="CA101" s="317"/>
      <c r="CB101" s="232"/>
      <c r="CC101" s="232"/>
    </row>
    <row r="102" spans="1:81" s="229" customFormat="1" ht="20.25" customHeight="1">
      <c r="A102" s="230">
        <v>78</v>
      </c>
      <c r="B102" s="239" t="s">
        <v>127</v>
      </c>
      <c r="C102" s="232">
        <f t="shared" si="188"/>
        <v>3835.465</v>
      </c>
      <c r="D102" s="233"/>
      <c r="E102" s="232">
        <f t="shared" si="189"/>
        <v>3835.465</v>
      </c>
      <c r="F102" s="233"/>
      <c r="G102" s="232"/>
      <c r="H102" s="232">
        <f t="shared" si="190"/>
        <v>4032.4246000000003</v>
      </c>
      <c r="I102" s="233"/>
      <c r="J102" s="232">
        <f t="shared" si="191"/>
        <v>3835.465</v>
      </c>
      <c r="K102" s="232">
        <f t="shared" si="192"/>
        <v>196.9596</v>
      </c>
      <c r="L102" s="240"/>
      <c r="M102" s="232">
        <f t="shared" si="164"/>
        <v>3835.465</v>
      </c>
      <c r="N102" s="232"/>
      <c r="O102" s="232">
        <v>3835.465</v>
      </c>
      <c r="P102" s="232"/>
      <c r="Q102" s="232"/>
      <c r="R102" s="234">
        <f t="shared" si="193"/>
        <v>3835.465</v>
      </c>
      <c r="S102" s="232"/>
      <c r="T102" s="232">
        <v>3835.465</v>
      </c>
      <c r="U102" s="232"/>
      <c r="V102" s="235"/>
      <c r="W102" s="232">
        <f t="shared" si="194"/>
        <v>0</v>
      </c>
      <c r="X102" s="232">
        <f t="shared" si="195"/>
        <v>0</v>
      </c>
      <c r="Y102" s="232">
        <f t="shared" si="195"/>
        <v>0</v>
      </c>
      <c r="Z102" s="232">
        <f t="shared" si="195"/>
        <v>0</v>
      </c>
      <c r="AA102" s="232">
        <f t="shared" si="195"/>
        <v>0</v>
      </c>
      <c r="AB102" s="232">
        <f t="shared" si="196"/>
        <v>3835.465</v>
      </c>
      <c r="AC102" s="232"/>
      <c r="AD102" s="232">
        <f t="shared" si="197"/>
        <v>3835.465</v>
      </c>
      <c r="AE102" s="232">
        <f t="shared" si="197"/>
        <v>0</v>
      </c>
      <c r="AF102" s="232">
        <f t="shared" si="197"/>
        <v>0</v>
      </c>
      <c r="AG102" s="232">
        <f t="shared" si="198"/>
        <v>0</v>
      </c>
      <c r="AH102" s="232"/>
      <c r="AI102" s="232"/>
      <c r="AJ102" s="232"/>
      <c r="AK102" s="236"/>
      <c r="AL102" s="234">
        <f t="shared" si="199"/>
        <v>3835.465</v>
      </c>
      <c r="AM102" s="232"/>
      <c r="AN102" s="232">
        <f t="shared" si="214"/>
        <v>3835.465</v>
      </c>
      <c r="AO102" s="232"/>
      <c r="AP102" s="235"/>
      <c r="AQ102" s="232">
        <f t="shared" si="200"/>
        <v>3715.94</v>
      </c>
      <c r="AR102" s="232"/>
      <c r="AS102" s="232">
        <f>1815.94+1900</f>
        <v>3715.94</v>
      </c>
      <c r="AT102" s="232"/>
      <c r="AU102" s="232"/>
      <c r="AV102" s="232">
        <f t="shared" si="201"/>
        <v>3715.94</v>
      </c>
      <c r="AW102" s="232"/>
      <c r="AX102" s="232">
        <f>1815.94+1900</f>
        <v>3715.94</v>
      </c>
      <c r="AY102" s="232"/>
      <c r="AZ102" s="232"/>
      <c r="BA102" s="232">
        <f t="shared" si="202"/>
        <v>196.9596</v>
      </c>
      <c r="BB102" s="232"/>
      <c r="BC102" s="232">
        <v>196.9596</v>
      </c>
      <c r="BD102" s="232"/>
      <c r="BE102" s="232"/>
      <c r="BF102" s="232">
        <f t="shared" si="203"/>
        <v>196.9596</v>
      </c>
      <c r="BG102" s="232"/>
      <c r="BH102" s="232">
        <v>196.9596</v>
      </c>
      <c r="BI102" s="232"/>
      <c r="BJ102" s="232"/>
      <c r="BK102" s="232">
        <f t="shared" si="204"/>
        <v>3912.8996</v>
      </c>
      <c r="BL102" s="232">
        <f t="shared" si="205"/>
        <v>0</v>
      </c>
      <c r="BM102" s="232">
        <f t="shared" si="206"/>
        <v>3912.8996</v>
      </c>
      <c r="BN102" s="232">
        <f t="shared" si="207"/>
        <v>0</v>
      </c>
      <c r="BO102" s="232">
        <f t="shared" si="208"/>
        <v>0</v>
      </c>
      <c r="BP102" s="316">
        <f t="shared" si="209"/>
        <v>119.52500000000009</v>
      </c>
      <c r="BQ102" s="317">
        <f t="shared" si="210"/>
        <v>0</v>
      </c>
      <c r="BR102" s="317">
        <f t="shared" si="211"/>
        <v>119.52500000000009</v>
      </c>
      <c r="BS102" s="317">
        <f t="shared" si="212"/>
        <v>0</v>
      </c>
      <c r="BT102" s="317">
        <f t="shared" si="213"/>
        <v>0</v>
      </c>
      <c r="BU102" s="229">
        <v>1</v>
      </c>
      <c r="BV102" s="305"/>
      <c r="BW102" s="331" t="s">
        <v>257</v>
      </c>
      <c r="BY102" s="232">
        <v>119.5</v>
      </c>
      <c r="BZ102" s="232">
        <v>1</v>
      </c>
      <c r="CA102" s="317"/>
      <c r="CB102" s="232"/>
      <c r="CC102" s="232"/>
    </row>
    <row r="103" spans="1:81" s="229" customFormat="1" ht="20.25" customHeight="1">
      <c r="A103" s="230">
        <v>79</v>
      </c>
      <c r="B103" s="239" t="s">
        <v>128</v>
      </c>
      <c r="C103" s="232">
        <f t="shared" si="188"/>
        <v>4126.046</v>
      </c>
      <c r="D103" s="233"/>
      <c r="E103" s="232">
        <f t="shared" si="189"/>
        <v>4126.046</v>
      </c>
      <c r="F103" s="233"/>
      <c r="G103" s="232"/>
      <c r="H103" s="232">
        <f t="shared" si="190"/>
        <v>4443.98512</v>
      </c>
      <c r="I103" s="233"/>
      <c r="J103" s="232">
        <f t="shared" si="191"/>
        <v>4126.046</v>
      </c>
      <c r="K103" s="232">
        <f t="shared" si="192"/>
        <v>317.93912</v>
      </c>
      <c r="L103" s="240"/>
      <c r="M103" s="232">
        <f t="shared" si="164"/>
        <v>4126.046</v>
      </c>
      <c r="N103" s="232"/>
      <c r="O103" s="232">
        <v>4126.046</v>
      </c>
      <c r="P103" s="232"/>
      <c r="Q103" s="232"/>
      <c r="R103" s="234">
        <f t="shared" si="193"/>
        <v>4126.046</v>
      </c>
      <c r="S103" s="232"/>
      <c r="T103" s="232">
        <v>4126.046</v>
      </c>
      <c r="U103" s="232"/>
      <c r="V103" s="235"/>
      <c r="W103" s="232">
        <f t="shared" si="194"/>
        <v>0</v>
      </c>
      <c r="X103" s="232">
        <f t="shared" si="195"/>
        <v>0</v>
      </c>
      <c r="Y103" s="232">
        <f t="shared" si="195"/>
        <v>0</v>
      </c>
      <c r="Z103" s="232">
        <f t="shared" si="195"/>
        <v>0</v>
      </c>
      <c r="AA103" s="232">
        <f t="shared" si="195"/>
        <v>0</v>
      </c>
      <c r="AB103" s="232">
        <f t="shared" si="196"/>
        <v>4126.046</v>
      </c>
      <c r="AC103" s="232"/>
      <c r="AD103" s="232">
        <f t="shared" si="197"/>
        <v>4126.046</v>
      </c>
      <c r="AE103" s="232">
        <f t="shared" si="197"/>
        <v>0</v>
      </c>
      <c r="AF103" s="232">
        <f t="shared" si="197"/>
        <v>0</v>
      </c>
      <c r="AG103" s="232">
        <f t="shared" si="198"/>
        <v>0</v>
      </c>
      <c r="AH103" s="232"/>
      <c r="AI103" s="232"/>
      <c r="AJ103" s="232"/>
      <c r="AK103" s="236"/>
      <c r="AL103" s="234">
        <f t="shared" si="199"/>
        <v>4126.046</v>
      </c>
      <c r="AM103" s="232"/>
      <c r="AN103" s="232">
        <f t="shared" si="214"/>
        <v>4126.046</v>
      </c>
      <c r="AO103" s="232"/>
      <c r="AP103" s="235"/>
      <c r="AQ103" s="232">
        <f t="shared" si="200"/>
        <v>3795.96232</v>
      </c>
      <c r="AR103" s="232"/>
      <c r="AS103" s="232">
        <f>3795.96232</f>
        <v>3795.96232</v>
      </c>
      <c r="AT103" s="232"/>
      <c r="AU103" s="232"/>
      <c r="AV103" s="232">
        <f t="shared" si="201"/>
        <v>3795.96232</v>
      </c>
      <c r="AW103" s="232"/>
      <c r="AX103" s="232">
        <f>3795.96232</f>
        <v>3795.96232</v>
      </c>
      <c r="AY103" s="232"/>
      <c r="AZ103" s="232"/>
      <c r="BA103" s="232">
        <f t="shared" si="202"/>
        <v>317.93912</v>
      </c>
      <c r="BB103" s="232"/>
      <c r="BC103" s="232">
        <v>317.93912</v>
      </c>
      <c r="BD103" s="232"/>
      <c r="BE103" s="232"/>
      <c r="BF103" s="232">
        <f t="shared" si="203"/>
        <v>317.93912</v>
      </c>
      <c r="BG103" s="232"/>
      <c r="BH103" s="232">
        <v>317.93912</v>
      </c>
      <c r="BI103" s="232"/>
      <c r="BJ103" s="232"/>
      <c r="BK103" s="232">
        <f t="shared" si="204"/>
        <v>4113.90144</v>
      </c>
      <c r="BL103" s="232">
        <f t="shared" si="205"/>
        <v>0</v>
      </c>
      <c r="BM103" s="232">
        <f t="shared" si="206"/>
        <v>4113.90144</v>
      </c>
      <c r="BN103" s="232">
        <f t="shared" si="207"/>
        <v>0</v>
      </c>
      <c r="BO103" s="232">
        <f t="shared" si="208"/>
        <v>0</v>
      </c>
      <c r="BP103" s="316">
        <f t="shared" si="209"/>
        <v>330.0836800000002</v>
      </c>
      <c r="BQ103" s="317">
        <f t="shared" si="210"/>
        <v>0</v>
      </c>
      <c r="BR103" s="317">
        <f t="shared" si="211"/>
        <v>330.0836800000002</v>
      </c>
      <c r="BS103" s="317">
        <f t="shared" si="212"/>
        <v>0</v>
      </c>
      <c r="BT103" s="317">
        <f t="shared" si="213"/>
        <v>0</v>
      </c>
      <c r="BU103" s="229">
        <v>1</v>
      </c>
      <c r="BV103" s="305"/>
      <c r="BW103" s="331" t="s">
        <v>258</v>
      </c>
      <c r="BY103" s="232">
        <v>330.1</v>
      </c>
      <c r="BZ103" s="232">
        <v>1</v>
      </c>
      <c r="CA103" s="317"/>
      <c r="CB103" s="232"/>
      <c r="CC103" s="232"/>
    </row>
    <row r="104" spans="1:81" s="229" customFormat="1" ht="15" customHeight="1">
      <c r="A104" s="230">
        <v>80</v>
      </c>
      <c r="B104" s="239" t="s">
        <v>129</v>
      </c>
      <c r="C104" s="232">
        <f t="shared" si="188"/>
        <v>1180.522</v>
      </c>
      <c r="D104" s="233"/>
      <c r="E104" s="232">
        <f t="shared" si="189"/>
        <v>1180.522</v>
      </c>
      <c r="F104" s="233"/>
      <c r="G104" s="232"/>
      <c r="H104" s="232">
        <f t="shared" si="190"/>
        <v>1840.23385</v>
      </c>
      <c r="I104" s="233"/>
      <c r="J104" s="232">
        <f t="shared" si="191"/>
        <v>1180.522</v>
      </c>
      <c r="K104" s="232">
        <f t="shared" si="192"/>
        <v>659.71185</v>
      </c>
      <c r="L104" s="240"/>
      <c r="M104" s="232">
        <f t="shared" si="164"/>
        <v>1180.522</v>
      </c>
      <c r="N104" s="232"/>
      <c r="O104" s="232">
        <v>1180.522</v>
      </c>
      <c r="P104" s="232"/>
      <c r="Q104" s="232"/>
      <c r="R104" s="234">
        <f t="shared" si="193"/>
        <v>1180.522</v>
      </c>
      <c r="S104" s="232"/>
      <c r="T104" s="232">
        <v>1180.522</v>
      </c>
      <c r="U104" s="232"/>
      <c r="V104" s="235"/>
      <c r="W104" s="232">
        <f t="shared" si="194"/>
        <v>0</v>
      </c>
      <c r="X104" s="232">
        <f t="shared" si="195"/>
        <v>0</v>
      </c>
      <c r="Y104" s="232">
        <f t="shared" si="195"/>
        <v>0</v>
      </c>
      <c r="Z104" s="232">
        <f t="shared" si="195"/>
        <v>0</v>
      </c>
      <c r="AA104" s="232">
        <f t="shared" si="195"/>
        <v>0</v>
      </c>
      <c r="AB104" s="232">
        <f t="shared" si="196"/>
        <v>1180.522</v>
      </c>
      <c r="AC104" s="232"/>
      <c r="AD104" s="232">
        <f t="shared" si="197"/>
        <v>1180.522</v>
      </c>
      <c r="AE104" s="232">
        <f t="shared" si="197"/>
        <v>0</v>
      </c>
      <c r="AF104" s="232">
        <f t="shared" si="197"/>
        <v>0</v>
      </c>
      <c r="AG104" s="232">
        <f t="shared" si="198"/>
        <v>0</v>
      </c>
      <c r="AH104" s="232"/>
      <c r="AI104" s="232"/>
      <c r="AJ104" s="232"/>
      <c r="AK104" s="236"/>
      <c r="AL104" s="234">
        <f t="shared" si="199"/>
        <v>1180.522</v>
      </c>
      <c r="AM104" s="232"/>
      <c r="AN104" s="232">
        <f t="shared" si="214"/>
        <v>1180.522</v>
      </c>
      <c r="AO104" s="232"/>
      <c r="AP104" s="235"/>
      <c r="AQ104" s="232">
        <f t="shared" si="200"/>
        <v>1180.522</v>
      </c>
      <c r="AR104" s="232"/>
      <c r="AS104" s="232">
        <v>1180.522</v>
      </c>
      <c r="AT104" s="232"/>
      <c r="AU104" s="232"/>
      <c r="AV104" s="232">
        <f t="shared" si="201"/>
        <v>1180.522</v>
      </c>
      <c r="AW104" s="232"/>
      <c r="AX104" s="232">
        <v>1180.522</v>
      </c>
      <c r="AY104" s="232"/>
      <c r="AZ104" s="232"/>
      <c r="BA104" s="232">
        <f t="shared" si="202"/>
        <v>659.71185</v>
      </c>
      <c r="BB104" s="232"/>
      <c r="BC104" s="232">
        <v>659.71185</v>
      </c>
      <c r="BD104" s="232"/>
      <c r="BE104" s="232"/>
      <c r="BF104" s="232">
        <f t="shared" si="203"/>
        <v>659.71185</v>
      </c>
      <c r="BG104" s="232"/>
      <c r="BH104" s="232">
        <v>659.71185</v>
      </c>
      <c r="BI104" s="232"/>
      <c r="BJ104" s="232"/>
      <c r="BK104" s="232">
        <f t="shared" si="204"/>
        <v>1840.23385</v>
      </c>
      <c r="BL104" s="232">
        <f t="shared" si="205"/>
        <v>0</v>
      </c>
      <c r="BM104" s="232">
        <f t="shared" si="206"/>
        <v>1840.23385</v>
      </c>
      <c r="BN104" s="232">
        <f t="shared" si="207"/>
        <v>0</v>
      </c>
      <c r="BO104" s="232">
        <f t="shared" si="208"/>
        <v>0</v>
      </c>
      <c r="BP104" s="316">
        <f t="shared" si="209"/>
        <v>0</v>
      </c>
      <c r="BQ104" s="317">
        <f t="shared" si="210"/>
        <v>0</v>
      </c>
      <c r="BR104" s="317">
        <f t="shared" si="211"/>
        <v>0</v>
      </c>
      <c r="BS104" s="317">
        <f t="shared" si="212"/>
        <v>0</v>
      </c>
      <c r="BT104" s="317">
        <f t="shared" si="213"/>
        <v>0</v>
      </c>
      <c r="BU104" s="229">
        <v>1</v>
      </c>
      <c r="BV104" s="305"/>
      <c r="BW104" s="331" t="s">
        <v>228</v>
      </c>
      <c r="BY104" s="232"/>
      <c r="BZ104" s="232">
        <v>1</v>
      </c>
      <c r="CA104" s="317"/>
      <c r="CB104" s="232"/>
      <c r="CC104" s="232"/>
    </row>
    <row r="105" spans="1:81" s="229" customFormat="1" ht="15" customHeight="1">
      <c r="A105" s="230">
        <v>81</v>
      </c>
      <c r="B105" s="239" t="s">
        <v>130</v>
      </c>
      <c r="C105" s="232">
        <f t="shared" si="188"/>
        <v>998.258</v>
      </c>
      <c r="D105" s="233"/>
      <c r="E105" s="232">
        <f t="shared" si="189"/>
        <v>998.258</v>
      </c>
      <c r="F105" s="233"/>
      <c r="G105" s="232"/>
      <c r="H105" s="232">
        <f t="shared" si="190"/>
        <v>1228.94135</v>
      </c>
      <c r="I105" s="233"/>
      <c r="J105" s="232">
        <f t="shared" si="191"/>
        <v>998.258</v>
      </c>
      <c r="K105" s="232">
        <f t="shared" si="192"/>
        <v>230.68335</v>
      </c>
      <c r="L105" s="240"/>
      <c r="M105" s="232">
        <f t="shared" si="164"/>
        <v>998.258</v>
      </c>
      <c r="N105" s="232"/>
      <c r="O105" s="232">
        <v>998.258</v>
      </c>
      <c r="P105" s="232"/>
      <c r="Q105" s="232"/>
      <c r="R105" s="234">
        <f t="shared" si="193"/>
        <v>998.258</v>
      </c>
      <c r="S105" s="232"/>
      <c r="T105" s="232">
        <v>998.258</v>
      </c>
      <c r="U105" s="232"/>
      <c r="V105" s="235"/>
      <c r="W105" s="232">
        <f t="shared" si="194"/>
        <v>0</v>
      </c>
      <c r="X105" s="232">
        <f t="shared" si="195"/>
        <v>0</v>
      </c>
      <c r="Y105" s="232">
        <f t="shared" si="195"/>
        <v>0</v>
      </c>
      <c r="Z105" s="232">
        <f t="shared" si="195"/>
        <v>0</v>
      </c>
      <c r="AA105" s="232">
        <f t="shared" si="195"/>
        <v>0</v>
      </c>
      <c r="AB105" s="232">
        <f t="shared" si="196"/>
        <v>998.258</v>
      </c>
      <c r="AC105" s="232"/>
      <c r="AD105" s="232">
        <f t="shared" si="197"/>
        <v>998.258</v>
      </c>
      <c r="AE105" s="232">
        <f t="shared" si="197"/>
        <v>0</v>
      </c>
      <c r="AF105" s="232">
        <f t="shared" si="197"/>
        <v>0</v>
      </c>
      <c r="AG105" s="232">
        <f t="shared" si="198"/>
        <v>0</v>
      </c>
      <c r="AH105" s="232"/>
      <c r="AI105" s="232"/>
      <c r="AJ105" s="232"/>
      <c r="AK105" s="236"/>
      <c r="AL105" s="234">
        <f t="shared" si="199"/>
        <v>998.258</v>
      </c>
      <c r="AM105" s="232"/>
      <c r="AN105" s="232">
        <f t="shared" si="214"/>
        <v>998.258</v>
      </c>
      <c r="AO105" s="232"/>
      <c r="AP105" s="235"/>
      <c r="AQ105" s="232">
        <f t="shared" si="200"/>
        <v>998.258</v>
      </c>
      <c r="AR105" s="232"/>
      <c r="AS105" s="232">
        <f>548.022+450.236</f>
        <v>998.258</v>
      </c>
      <c r="AT105" s="232"/>
      <c r="AU105" s="232"/>
      <c r="AV105" s="232">
        <f t="shared" si="201"/>
        <v>998.258</v>
      </c>
      <c r="AW105" s="232"/>
      <c r="AX105" s="232">
        <f>548.022+450.236</f>
        <v>998.258</v>
      </c>
      <c r="AY105" s="232"/>
      <c r="AZ105" s="232"/>
      <c r="BA105" s="232">
        <f t="shared" si="202"/>
        <v>230.68335</v>
      </c>
      <c r="BB105" s="232"/>
      <c r="BC105" s="232">
        <v>230.68335</v>
      </c>
      <c r="BD105" s="232"/>
      <c r="BE105" s="232"/>
      <c r="BF105" s="232">
        <f t="shared" si="203"/>
        <v>230.68335</v>
      </c>
      <c r="BG105" s="232"/>
      <c r="BH105" s="232">
        <v>230.68335</v>
      </c>
      <c r="BI105" s="232"/>
      <c r="BJ105" s="232"/>
      <c r="BK105" s="232">
        <f t="shared" si="204"/>
        <v>1228.94135</v>
      </c>
      <c r="BL105" s="232">
        <f t="shared" si="205"/>
        <v>0</v>
      </c>
      <c r="BM105" s="232">
        <f t="shared" si="206"/>
        <v>1228.94135</v>
      </c>
      <c r="BN105" s="232">
        <f t="shared" si="207"/>
        <v>0</v>
      </c>
      <c r="BO105" s="232">
        <f t="shared" si="208"/>
        <v>0</v>
      </c>
      <c r="BP105" s="316">
        <f t="shared" si="209"/>
        <v>0</v>
      </c>
      <c r="BQ105" s="317">
        <f t="shared" si="210"/>
        <v>0</v>
      </c>
      <c r="BR105" s="317">
        <f t="shared" si="211"/>
        <v>0</v>
      </c>
      <c r="BS105" s="317">
        <f t="shared" si="212"/>
        <v>0</v>
      </c>
      <c r="BT105" s="317">
        <f t="shared" si="213"/>
        <v>0</v>
      </c>
      <c r="BU105" s="229">
        <v>1</v>
      </c>
      <c r="BV105" s="305"/>
      <c r="BW105" s="331" t="s">
        <v>228</v>
      </c>
      <c r="BY105" s="232"/>
      <c r="BZ105" s="232">
        <v>1</v>
      </c>
      <c r="CA105" s="317"/>
      <c r="CB105" s="232"/>
      <c r="CC105" s="232"/>
    </row>
    <row r="106" spans="1:81" s="229" customFormat="1" ht="20.25" customHeight="1">
      <c r="A106" s="230">
        <v>82</v>
      </c>
      <c r="B106" s="239" t="s">
        <v>131</v>
      </c>
      <c r="C106" s="232">
        <f t="shared" si="188"/>
        <v>2073.709</v>
      </c>
      <c r="D106" s="233"/>
      <c r="E106" s="232">
        <f t="shared" si="189"/>
        <v>2073.709</v>
      </c>
      <c r="F106" s="233"/>
      <c r="G106" s="232"/>
      <c r="H106" s="232">
        <f t="shared" si="190"/>
        <v>2346.81384</v>
      </c>
      <c r="I106" s="233"/>
      <c r="J106" s="232">
        <f t="shared" si="191"/>
        <v>2073.709</v>
      </c>
      <c r="K106" s="232">
        <f t="shared" si="192"/>
        <v>273.10484</v>
      </c>
      <c r="L106" s="240"/>
      <c r="M106" s="232">
        <f t="shared" si="164"/>
        <v>2073.709</v>
      </c>
      <c r="N106" s="232"/>
      <c r="O106" s="232">
        <v>1110.358</v>
      </c>
      <c r="P106" s="232"/>
      <c r="Q106" s="232">
        <v>963.351</v>
      </c>
      <c r="R106" s="234">
        <f t="shared" si="193"/>
        <v>2073.709</v>
      </c>
      <c r="S106" s="232"/>
      <c r="T106" s="232">
        <v>1110.358</v>
      </c>
      <c r="U106" s="232"/>
      <c r="V106" s="235">
        <f>971.23-7.879</f>
        <v>963.351</v>
      </c>
      <c r="W106" s="232">
        <f t="shared" si="194"/>
        <v>0</v>
      </c>
      <c r="X106" s="232">
        <f t="shared" si="195"/>
        <v>0</v>
      </c>
      <c r="Y106" s="232">
        <f t="shared" si="195"/>
        <v>0</v>
      </c>
      <c r="Z106" s="232">
        <f t="shared" si="195"/>
        <v>0</v>
      </c>
      <c r="AA106" s="232">
        <f t="shared" si="195"/>
        <v>0</v>
      </c>
      <c r="AB106" s="232">
        <f t="shared" si="196"/>
        <v>2081.5879999999997</v>
      </c>
      <c r="AC106" s="232"/>
      <c r="AD106" s="232">
        <f t="shared" si="197"/>
        <v>1110.358</v>
      </c>
      <c r="AE106" s="232">
        <f t="shared" si="197"/>
        <v>0</v>
      </c>
      <c r="AF106" s="232">
        <f>V106+AK106</f>
        <v>971.23</v>
      </c>
      <c r="AG106" s="232">
        <f t="shared" si="198"/>
        <v>7.879</v>
      </c>
      <c r="AH106" s="232"/>
      <c r="AI106" s="232"/>
      <c r="AJ106" s="232"/>
      <c r="AK106" s="236">
        <v>7.879</v>
      </c>
      <c r="AL106" s="234">
        <f t="shared" si="199"/>
        <v>2073.709</v>
      </c>
      <c r="AM106" s="232"/>
      <c r="AN106" s="232">
        <f t="shared" si="214"/>
        <v>1110.358</v>
      </c>
      <c r="AO106" s="232"/>
      <c r="AP106" s="235">
        <f>971.23-7.879</f>
        <v>963.351</v>
      </c>
      <c r="AQ106" s="232">
        <f t="shared" si="200"/>
        <v>2029.93483</v>
      </c>
      <c r="AR106" s="232"/>
      <c r="AS106" s="232">
        <v>1110.358</v>
      </c>
      <c r="AT106" s="232"/>
      <c r="AU106" s="232">
        <f>333.40346+586.17337</f>
        <v>919.57683</v>
      </c>
      <c r="AV106" s="232">
        <f t="shared" si="201"/>
        <v>2029.93483</v>
      </c>
      <c r="AW106" s="232"/>
      <c r="AX106" s="232">
        <v>1110.358</v>
      </c>
      <c r="AY106" s="232"/>
      <c r="AZ106" s="232">
        <f>333.40346+586.17337</f>
        <v>919.57683</v>
      </c>
      <c r="BA106" s="232">
        <f t="shared" si="202"/>
        <v>273.10484</v>
      </c>
      <c r="BB106" s="232"/>
      <c r="BC106" s="232">
        <v>224.70606</v>
      </c>
      <c r="BD106" s="232"/>
      <c r="BE106" s="232">
        <v>48.39878</v>
      </c>
      <c r="BF106" s="232">
        <f t="shared" si="203"/>
        <v>273.10484</v>
      </c>
      <c r="BG106" s="232"/>
      <c r="BH106" s="232">
        <v>224.70606</v>
      </c>
      <c r="BI106" s="232"/>
      <c r="BJ106" s="232">
        <v>48.39878</v>
      </c>
      <c r="BK106" s="232">
        <f t="shared" si="204"/>
        <v>2303.03967</v>
      </c>
      <c r="BL106" s="232">
        <f t="shared" si="205"/>
        <v>0</v>
      </c>
      <c r="BM106" s="232">
        <f t="shared" si="206"/>
        <v>1335.06406</v>
      </c>
      <c r="BN106" s="232">
        <f t="shared" si="207"/>
        <v>0</v>
      </c>
      <c r="BO106" s="232">
        <f t="shared" si="208"/>
        <v>967.97561</v>
      </c>
      <c r="BP106" s="316">
        <f t="shared" si="209"/>
        <v>43.77417000000003</v>
      </c>
      <c r="BQ106" s="317">
        <f t="shared" si="210"/>
        <v>0</v>
      </c>
      <c r="BR106" s="317">
        <f t="shared" si="211"/>
        <v>0</v>
      </c>
      <c r="BS106" s="317">
        <f t="shared" si="212"/>
        <v>0</v>
      </c>
      <c r="BT106" s="317">
        <f t="shared" si="213"/>
        <v>43.77417000000003</v>
      </c>
      <c r="BU106" s="229">
        <v>1</v>
      </c>
      <c r="BV106" s="305"/>
      <c r="BW106" s="331" t="s">
        <v>259</v>
      </c>
      <c r="BY106" s="232">
        <v>43.8</v>
      </c>
      <c r="BZ106" s="232">
        <v>1</v>
      </c>
      <c r="CA106" s="317"/>
      <c r="CB106" s="232"/>
      <c r="CC106" s="232"/>
    </row>
    <row r="107" spans="1:81" s="229" customFormat="1" ht="15" customHeight="1">
      <c r="A107" s="230">
        <v>83</v>
      </c>
      <c r="B107" s="239" t="s">
        <v>132</v>
      </c>
      <c r="C107" s="232">
        <f t="shared" si="188"/>
        <v>2252.476</v>
      </c>
      <c r="D107" s="233"/>
      <c r="E107" s="232">
        <f t="shared" si="189"/>
        <v>2252.476</v>
      </c>
      <c r="F107" s="233"/>
      <c r="G107" s="232"/>
      <c r="H107" s="232">
        <f t="shared" si="190"/>
        <v>2374.876</v>
      </c>
      <c r="I107" s="233"/>
      <c r="J107" s="232">
        <f t="shared" si="191"/>
        <v>2252.476</v>
      </c>
      <c r="K107" s="232">
        <f t="shared" si="192"/>
        <v>122.4</v>
      </c>
      <c r="L107" s="240"/>
      <c r="M107" s="232">
        <f t="shared" si="164"/>
        <v>2252.476</v>
      </c>
      <c r="N107" s="232"/>
      <c r="O107" s="232">
        <v>2212.476</v>
      </c>
      <c r="P107" s="232"/>
      <c r="Q107" s="232">
        <v>40</v>
      </c>
      <c r="R107" s="234">
        <f t="shared" si="193"/>
        <v>2252.476</v>
      </c>
      <c r="S107" s="232"/>
      <c r="T107" s="232">
        <f>1206.078+1006.398</f>
        <v>2212.476</v>
      </c>
      <c r="U107" s="232"/>
      <c r="V107" s="235">
        <v>40</v>
      </c>
      <c r="W107" s="232">
        <f t="shared" si="194"/>
        <v>0</v>
      </c>
      <c r="X107" s="232">
        <f t="shared" si="195"/>
        <v>0</v>
      </c>
      <c r="Y107" s="232">
        <f t="shared" si="195"/>
        <v>0</v>
      </c>
      <c r="Z107" s="232">
        <f t="shared" si="195"/>
        <v>0</v>
      </c>
      <c r="AA107" s="232">
        <f t="shared" si="195"/>
        <v>0</v>
      </c>
      <c r="AB107" s="232">
        <f t="shared" si="196"/>
        <v>2252.476</v>
      </c>
      <c r="AC107" s="232"/>
      <c r="AD107" s="232">
        <f t="shared" si="197"/>
        <v>2212.476</v>
      </c>
      <c r="AE107" s="232">
        <f t="shared" si="197"/>
        <v>0</v>
      </c>
      <c r="AF107" s="232">
        <f t="shared" si="197"/>
        <v>40</v>
      </c>
      <c r="AG107" s="232">
        <f t="shared" si="198"/>
        <v>0</v>
      </c>
      <c r="AH107" s="232"/>
      <c r="AI107" s="232"/>
      <c r="AJ107" s="232"/>
      <c r="AK107" s="236"/>
      <c r="AL107" s="234">
        <f t="shared" si="199"/>
        <v>2252.476</v>
      </c>
      <c r="AM107" s="232"/>
      <c r="AN107" s="232">
        <f t="shared" si="214"/>
        <v>2212.476</v>
      </c>
      <c r="AO107" s="232"/>
      <c r="AP107" s="235">
        <f>AF107</f>
        <v>40</v>
      </c>
      <c r="AQ107" s="232">
        <f t="shared" si="200"/>
        <v>2252.476</v>
      </c>
      <c r="AR107" s="232"/>
      <c r="AS107" s="232">
        <v>2212.476</v>
      </c>
      <c r="AT107" s="232"/>
      <c r="AU107" s="232">
        <v>40</v>
      </c>
      <c r="AV107" s="232">
        <f t="shared" si="201"/>
        <v>2252.476</v>
      </c>
      <c r="AW107" s="232"/>
      <c r="AX107" s="232">
        <v>2212.476</v>
      </c>
      <c r="AY107" s="232"/>
      <c r="AZ107" s="232">
        <v>40</v>
      </c>
      <c r="BA107" s="232">
        <f t="shared" si="202"/>
        <v>122.4</v>
      </c>
      <c r="BB107" s="232"/>
      <c r="BC107" s="232">
        <v>120</v>
      </c>
      <c r="BD107" s="232"/>
      <c r="BE107" s="232">
        <v>2.4</v>
      </c>
      <c r="BF107" s="232">
        <f t="shared" si="203"/>
        <v>122.4</v>
      </c>
      <c r="BG107" s="232"/>
      <c r="BH107" s="232">
        <v>120</v>
      </c>
      <c r="BI107" s="232"/>
      <c r="BJ107" s="232">
        <v>2.4</v>
      </c>
      <c r="BK107" s="232">
        <f t="shared" si="204"/>
        <v>2374.876</v>
      </c>
      <c r="BL107" s="232">
        <f t="shared" si="205"/>
        <v>0</v>
      </c>
      <c r="BM107" s="232">
        <f t="shared" si="206"/>
        <v>2332.476</v>
      </c>
      <c r="BN107" s="232">
        <f t="shared" si="207"/>
        <v>0</v>
      </c>
      <c r="BO107" s="232">
        <f t="shared" si="208"/>
        <v>42.4</v>
      </c>
      <c r="BP107" s="316">
        <f t="shared" si="209"/>
        <v>0</v>
      </c>
      <c r="BQ107" s="317">
        <f t="shared" si="210"/>
        <v>0</v>
      </c>
      <c r="BR107" s="317">
        <f t="shared" si="211"/>
        <v>0</v>
      </c>
      <c r="BS107" s="317">
        <f t="shared" si="212"/>
        <v>0</v>
      </c>
      <c r="BT107" s="317">
        <f t="shared" si="213"/>
        <v>0</v>
      </c>
      <c r="BU107" s="229">
        <v>1</v>
      </c>
      <c r="BV107" s="305"/>
      <c r="BW107" s="331" t="s">
        <v>228</v>
      </c>
      <c r="BY107" s="232"/>
      <c r="BZ107" s="232">
        <v>1</v>
      </c>
      <c r="CA107" s="317"/>
      <c r="CB107" s="232"/>
      <c r="CC107" s="232"/>
    </row>
    <row r="108" spans="1:81" s="229" customFormat="1" ht="15" customHeight="1">
      <c r="A108" s="230">
        <v>84</v>
      </c>
      <c r="B108" s="239" t="s">
        <v>133</v>
      </c>
      <c r="C108" s="232">
        <f t="shared" si="188"/>
        <v>1577.828</v>
      </c>
      <c r="D108" s="233"/>
      <c r="E108" s="232">
        <f t="shared" si="189"/>
        <v>1577.828</v>
      </c>
      <c r="F108" s="233"/>
      <c r="G108" s="232"/>
      <c r="H108" s="232">
        <f t="shared" si="190"/>
        <v>1928.81995</v>
      </c>
      <c r="I108" s="233"/>
      <c r="J108" s="232">
        <f t="shared" si="191"/>
        <v>1577.828</v>
      </c>
      <c r="K108" s="232">
        <f t="shared" si="192"/>
        <v>350.99195</v>
      </c>
      <c r="L108" s="240"/>
      <c r="M108" s="232">
        <f t="shared" si="164"/>
        <v>1577.828</v>
      </c>
      <c r="N108" s="232"/>
      <c r="O108" s="232">
        <v>1577.828</v>
      </c>
      <c r="P108" s="232"/>
      <c r="Q108" s="232"/>
      <c r="R108" s="234">
        <f t="shared" si="193"/>
        <v>1577.828</v>
      </c>
      <c r="S108" s="232"/>
      <c r="T108" s="232">
        <v>1577.828</v>
      </c>
      <c r="U108" s="232"/>
      <c r="V108" s="235"/>
      <c r="W108" s="232">
        <f t="shared" si="194"/>
        <v>0</v>
      </c>
      <c r="X108" s="232">
        <f t="shared" si="195"/>
        <v>0</v>
      </c>
      <c r="Y108" s="232">
        <f t="shared" si="195"/>
        <v>0</v>
      </c>
      <c r="Z108" s="232">
        <f t="shared" si="195"/>
        <v>0</v>
      </c>
      <c r="AA108" s="232">
        <f t="shared" si="195"/>
        <v>0</v>
      </c>
      <c r="AB108" s="232">
        <f t="shared" si="196"/>
        <v>1577.828</v>
      </c>
      <c r="AC108" s="232"/>
      <c r="AD108" s="232">
        <f t="shared" si="197"/>
        <v>1577.828</v>
      </c>
      <c r="AE108" s="232">
        <f t="shared" si="197"/>
        <v>0</v>
      </c>
      <c r="AF108" s="232">
        <f t="shared" si="197"/>
        <v>0</v>
      </c>
      <c r="AG108" s="232">
        <f t="shared" si="198"/>
        <v>0</v>
      </c>
      <c r="AH108" s="232"/>
      <c r="AI108" s="232"/>
      <c r="AJ108" s="232"/>
      <c r="AK108" s="236"/>
      <c r="AL108" s="234">
        <f t="shared" si="199"/>
        <v>1577.828</v>
      </c>
      <c r="AM108" s="232"/>
      <c r="AN108" s="232">
        <f t="shared" si="214"/>
        <v>1577.828</v>
      </c>
      <c r="AO108" s="232"/>
      <c r="AP108" s="235"/>
      <c r="AQ108" s="232">
        <f t="shared" si="200"/>
        <v>1577.828</v>
      </c>
      <c r="AR108" s="232"/>
      <c r="AS108" s="232">
        <f>732.987+844.841</f>
        <v>1577.828</v>
      </c>
      <c r="AT108" s="232"/>
      <c r="AU108" s="232"/>
      <c r="AV108" s="232">
        <f t="shared" si="201"/>
        <v>1577.828</v>
      </c>
      <c r="AW108" s="232"/>
      <c r="AX108" s="232">
        <f>732.987+844.841</f>
        <v>1577.828</v>
      </c>
      <c r="AY108" s="232"/>
      <c r="AZ108" s="232"/>
      <c r="BA108" s="232">
        <f t="shared" si="202"/>
        <v>350.99195</v>
      </c>
      <c r="BB108" s="232"/>
      <c r="BC108" s="232">
        <v>350.99195</v>
      </c>
      <c r="BD108" s="232"/>
      <c r="BE108" s="232"/>
      <c r="BF108" s="232">
        <f t="shared" si="203"/>
        <v>350.99195</v>
      </c>
      <c r="BG108" s="232"/>
      <c r="BH108" s="232">
        <v>350.99195</v>
      </c>
      <c r="BI108" s="232"/>
      <c r="BJ108" s="232"/>
      <c r="BK108" s="232">
        <f t="shared" si="204"/>
        <v>1928.81995</v>
      </c>
      <c r="BL108" s="232">
        <f t="shared" si="205"/>
        <v>0</v>
      </c>
      <c r="BM108" s="232">
        <f t="shared" si="206"/>
        <v>1928.81995</v>
      </c>
      <c r="BN108" s="232">
        <f t="shared" si="207"/>
        <v>0</v>
      </c>
      <c r="BO108" s="232">
        <f t="shared" si="208"/>
        <v>0</v>
      </c>
      <c r="BP108" s="316">
        <f t="shared" si="209"/>
        <v>0</v>
      </c>
      <c r="BQ108" s="317">
        <f t="shared" si="210"/>
        <v>0</v>
      </c>
      <c r="BR108" s="317">
        <f t="shared" si="211"/>
        <v>0</v>
      </c>
      <c r="BS108" s="317">
        <f t="shared" si="212"/>
        <v>0</v>
      </c>
      <c r="BT108" s="317">
        <f t="shared" si="213"/>
        <v>0</v>
      </c>
      <c r="BU108" s="229">
        <v>1</v>
      </c>
      <c r="BV108" s="305"/>
      <c r="BW108" s="331" t="s">
        <v>228</v>
      </c>
      <c r="BY108" s="232"/>
      <c r="BZ108" s="232">
        <v>1</v>
      </c>
      <c r="CA108" s="317"/>
      <c r="CB108" s="232"/>
      <c r="CC108" s="232"/>
    </row>
    <row r="109" spans="1:81" s="229" customFormat="1" ht="24" customHeight="1">
      <c r="A109" s="230">
        <v>85</v>
      </c>
      <c r="B109" s="239" t="s">
        <v>134</v>
      </c>
      <c r="C109" s="232">
        <f t="shared" si="188"/>
        <v>1881.238</v>
      </c>
      <c r="D109" s="233"/>
      <c r="E109" s="232">
        <f t="shared" si="189"/>
        <v>1881.238</v>
      </c>
      <c r="F109" s="233"/>
      <c r="G109" s="232"/>
      <c r="H109" s="232">
        <f t="shared" si="190"/>
        <v>1980.738</v>
      </c>
      <c r="I109" s="233"/>
      <c r="J109" s="232">
        <f t="shared" si="191"/>
        <v>1881.238</v>
      </c>
      <c r="K109" s="232">
        <f t="shared" si="192"/>
        <v>99.5</v>
      </c>
      <c r="L109" s="240"/>
      <c r="M109" s="232">
        <f t="shared" si="164"/>
        <v>1881.238</v>
      </c>
      <c r="N109" s="232"/>
      <c r="O109" s="232">
        <f>1608.833-2.577</f>
        <v>1606.256</v>
      </c>
      <c r="P109" s="232"/>
      <c r="Q109" s="232">
        <f>275.267-0.285</f>
        <v>274.98199999999997</v>
      </c>
      <c r="R109" s="234">
        <f t="shared" si="193"/>
        <v>1881.238</v>
      </c>
      <c r="S109" s="232"/>
      <c r="T109" s="232">
        <v>1606.256</v>
      </c>
      <c r="U109" s="232"/>
      <c r="V109" s="235">
        <v>274.982</v>
      </c>
      <c r="W109" s="232">
        <f t="shared" si="194"/>
        <v>0</v>
      </c>
      <c r="X109" s="232">
        <f t="shared" si="195"/>
        <v>0</v>
      </c>
      <c r="Y109" s="232">
        <f t="shared" si="195"/>
        <v>0</v>
      </c>
      <c r="Z109" s="232">
        <f t="shared" si="195"/>
        <v>0</v>
      </c>
      <c r="AA109" s="232">
        <f t="shared" si="195"/>
        <v>0</v>
      </c>
      <c r="AB109" s="232">
        <f t="shared" si="196"/>
        <v>1881.238</v>
      </c>
      <c r="AC109" s="232"/>
      <c r="AD109" s="232">
        <f t="shared" si="197"/>
        <v>1606.256</v>
      </c>
      <c r="AE109" s="232">
        <f t="shared" si="197"/>
        <v>0</v>
      </c>
      <c r="AF109" s="232">
        <f t="shared" si="197"/>
        <v>274.982</v>
      </c>
      <c r="AG109" s="232">
        <f t="shared" si="198"/>
        <v>0</v>
      </c>
      <c r="AH109" s="232"/>
      <c r="AI109" s="232"/>
      <c r="AJ109" s="232"/>
      <c r="AK109" s="236"/>
      <c r="AL109" s="234">
        <f t="shared" si="199"/>
        <v>1881.238</v>
      </c>
      <c r="AM109" s="232"/>
      <c r="AN109" s="232">
        <f t="shared" si="214"/>
        <v>1606.256</v>
      </c>
      <c r="AO109" s="232"/>
      <c r="AP109" s="235">
        <f>AF109</f>
        <v>274.982</v>
      </c>
      <c r="AQ109" s="232">
        <f t="shared" si="200"/>
        <v>1367.321</v>
      </c>
      <c r="AR109" s="232"/>
      <c r="AS109" s="232">
        <v>1098.12864</v>
      </c>
      <c r="AT109" s="232"/>
      <c r="AU109" s="232">
        <v>269.19236</v>
      </c>
      <c r="AV109" s="232">
        <f t="shared" si="201"/>
        <v>1367.321</v>
      </c>
      <c r="AW109" s="232"/>
      <c r="AX109" s="232">
        <v>1098.12864</v>
      </c>
      <c r="AY109" s="232"/>
      <c r="AZ109" s="232">
        <v>269.19236</v>
      </c>
      <c r="BA109" s="232">
        <f t="shared" si="202"/>
        <v>99.5</v>
      </c>
      <c r="BB109" s="232"/>
      <c r="BC109" s="232">
        <v>85</v>
      </c>
      <c r="BD109" s="232"/>
      <c r="BE109" s="232">
        <v>14.5</v>
      </c>
      <c r="BF109" s="232">
        <f t="shared" si="203"/>
        <v>99.5</v>
      </c>
      <c r="BG109" s="232"/>
      <c r="BH109" s="232">
        <v>85</v>
      </c>
      <c r="BI109" s="232"/>
      <c r="BJ109" s="232">
        <v>14.5</v>
      </c>
      <c r="BK109" s="232">
        <f t="shared" si="204"/>
        <v>1466.821</v>
      </c>
      <c r="BL109" s="232">
        <f t="shared" si="205"/>
        <v>0</v>
      </c>
      <c r="BM109" s="232">
        <f t="shared" si="206"/>
        <v>1183.12864</v>
      </c>
      <c r="BN109" s="232">
        <f t="shared" si="207"/>
        <v>0</v>
      </c>
      <c r="BO109" s="232">
        <f t="shared" si="208"/>
        <v>283.69236</v>
      </c>
      <c r="BP109" s="316">
        <f t="shared" si="209"/>
        <v>513.9170000000001</v>
      </c>
      <c r="BQ109" s="317">
        <f t="shared" si="210"/>
        <v>0</v>
      </c>
      <c r="BR109" s="317">
        <f t="shared" si="211"/>
        <v>508.1273600000002</v>
      </c>
      <c r="BS109" s="317">
        <f t="shared" si="212"/>
        <v>0</v>
      </c>
      <c r="BT109" s="317">
        <f t="shared" si="213"/>
        <v>5.78964000000002</v>
      </c>
      <c r="BU109" s="229">
        <v>1</v>
      </c>
      <c r="BV109" s="305"/>
      <c r="BW109" s="331" t="s">
        <v>260</v>
      </c>
      <c r="BY109" s="232">
        <v>513.9</v>
      </c>
      <c r="BZ109" s="232">
        <v>1</v>
      </c>
      <c r="CA109" s="317"/>
      <c r="CB109" s="232"/>
      <c r="CC109" s="232"/>
    </row>
    <row r="110" spans="1:81" s="229" customFormat="1" ht="15" customHeight="1">
      <c r="A110" s="238"/>
      <c r="B110" s="301" t="s">
        <v>23</v>
      </c>
      <c r="C110" s="228">
        <f aca="true" t="shared" si="215" ref="C110:L110">SUM(C111:C116)</f>
        <v>67200.418</v>
      </c>
      <c r="D110" s="228">
        <f t="shared" si="215"/>
        <v>13375.6</v>
      </c>
      <c r="E110" s="228">
        <f t="shared" si="215"/>
        <v>51505.018</v>
      </c>
      <c r="F110" s="228">
        <f t="shared" si="215"/>
        <v>2319.8</v>
      </c>
      <c r="G110" s="228">
        <f t="shared" si="215"/>
        <v>0</v>
      </c>
      <c r="H110" s="228">
        <f t="shared" si="215"/>
        <v>44310.16315</v>
      </c>
      <c r="I110" s="228">
        <f t="shared" si="215"/>
        <v>5761.3</v>
      </c>
      <c r="J110" s="228">
        <f t="shared" si="215"/>
        <v>34943.63058</v>
      </c>
      <c r="K110" s="228">
        <f t="shared" si="215"/>
        <v>3605.23257</v>
      </c>
      <c r="L110" s="228">
        <f t="shared" si="215"/>
        <v>0</v>
      </c>
      <c r="M110" s="223">
        <f t="shared" si="164"/>
        <v>51505.018</v>
      </c>
      <c r="N110" s="223">
        <f aca="true" t="shared" si="216" ref="N110:S110">SUM(N111:N116)</f>
        <v>30242.26</v>
      </c>
      <c r="O110" s="223">
        <f t="shared" si="216"/>
        <v>17418.469</v>
      </c>
      <c r="P110" s="223">
        <f t="shared" si="216"/>
        <v>0</v>
      </c>
      <c r="Q110" s="223">
        <f t="shared" si="216"/>
        <v>3844.289</v>
      </c>
      <c r="R110" s="225">
        <f t="shared" si="216"/>
        <v>49778.541</v>
      </c>
      <c r="S110" s="223">
        <f t="shared" si="216"/>
        <v>28515.783</v>
      </c>
      <c r="T110" s="223">
        <f>SUM(T112:T116)</f>
        <v>17418.469</v>
      </c>
      <c r="U110" s="223">
        <f>SUM(U112:U116)</f>
        <v>0</v>
      </c>
      <c r="V110" s="226">
        <f>SUM(V112:V116)</f>
        <v>3844.289</v>
      </c>
      <c r="W110" s="223">
        <f>SUM(W111:W116)</f>
        <v>1726.476999999999</v>
      </c>
      <c r="X110" s="223">
        <f>SUM(X111:X116)</f>
        <v>1726.476999999999</v>
      </c>
      <c r="Y110" s="223">
        <f>SUM(Y112:Y116)</f>
        <v>0</v>
      </c>
      <c r="Z110" s="223">
        <f>SUM(Z112:Z116)</f>
        <v>0</v>
      </c>
      <c r="AA110" s="223">
        <f>SUM(AA112:AA116)</f>
        <v>0</v>
      </c>
      <c r="AB110" s="223">
        <f>SUM(AB111:AB116)</f>
        <v>21262.757999999998</v>
      </c>
      <c r="AC110" s="223">
        <f>SUM(AC111:AC116)</f>
        <v>0</v>
      </c>
      <c r="AD110" s="223">
        <f>SUM(AD112:AD116)</f>
        <v>17418.469</v>
      </c>
      <c r="AE110" s="223">
        <f>SUM(AE112:AE116)</f>
        <v>0</v>
      </c>
      <c r="AF110" s="223">
        <f>SUM(AF112:AF116)</f>
        <v>3844.289</v>
      </c>
      <c r="AG110" s="223">
        <f>SUM(AG111:AG116)</f>
        <v>0</v>
      </c>
      <c r="AH110" s="223">
        <f>SUM(AH111:AH116)</f>
        <v>0</v>
      </c>
      <c r="AI110" s="223">
        <f>SUM(AI112:AI116)</f>
        <v>0</v>
      </c>
      <c r="AJ110" s="223">
        <f>SUM(AJ112:AJ116)</f>
        <v>0</v>
      </c>
      <c r="AK110" s="227">
        <f>SUM(AK112:AK116)</f>
        <v>0</v>
      </c>
      <c r="AL110" s="225">
        <f>SUM(AL111:AL116)</f>
        <v>34943.63058</v>
      </c>
      <c r="AM110" s="223">
        <f>SUM(AM111:AM116)</f>
        <v>13680.87258</v>
      </c>
      <c r="AN110" s="223">
        <f>SUM(AN112:AN116)</f>
        <v>17418.469</v>
      </c>
      <c r="AO110" s="223">
        <f>SUM(AO112:AO116)</f>
        <v>0</v>
      </c>
      <c r="AP110" s="226">
        <f>SUM(AP112:AP116)</f>
        <v>3844.289</v>
      </c>
      <c r="AQ110" s="223">
        <f>SUM(AQ111:AQ116)</f>
        <v>34814.919630000004</v>
      </c>
      <c r="AR110" s="223">
        <f>SUM(AR111:AR116)</f>
        <v>13680.87258</v>
      </c>
      <c r="AS110" s="223">
        <f>SUM(AS112:AS116)</f>
        <v>17289.75805</v>
      </c>
      <c r="AT110" s="223">
        <f>SUM(AT112:AT116)</f>
        <v>0</v>
      </c>
      <c r="AU110" s="223">
        <f>SUM(AU112:AU116)</f>
        <v>3844.2889999999998</v>
      </c>
      <c r="AV110" s="223">
        <f>SUM(AV111:AV116)</f>
        <v>34814.919630000004</v>
      </c>
      <c r="AW110" s="223">
        <f>SUM(AW111:AW116)</f>
        <v>13680.87258</v>
      </c>
      <c r="AX110" s="223">
        <f>SUM(AX112:AX116)</f>
        <v>17289.75805</v>
      </c>
      <c r="AY110" s="223">
        <f>SUM(AY112:AY116)</f>
        <v>0</v>
      </c>
      <c r="AZ110" s="223">
        <f>SUM(AZ112:AZ116)</f>
        <v>3844.2889999999998</v>
      </c>
      <c r="BA110" s="223">
        <f>SUM(BA111:BA116)</f>
        <v>3605.23257</v>
      </c>
      <c r="BB110" s="223">
        <f>SUM(BB111:BB116)</f>
        <v>1120.84416</v>
      </c>
      <c r="BC110" s="223">
        <f>SUM(BC112:BC116)</f>
        <v>1524.0767600000001</v>
      </c>
      <c r="BD110" s="223">
        <f>SUM(BD112:BD116)</f>
        <v>0</v>
      </c>
      <c r="BE110" s="223">
        <f>SUM(BE112:BE116)</f>
        <v>960.31165</v>
      </c>
      <c r="BF110" s="223">
        <f>SUM(BF111:BF116)</f>
        <v>3605.23257</v>
      </c>
      <c r="BG110" s="223">
        <f>SUM(BG111:BG116)</f>
        <v>1120.84416</v>
      </c>
      <c r="BH110" s="223">
        <f>SUM(BH112:BH116)</f>
        <v>1524.0767600000001</v>
      </c>
      <c r="BI110" s="223">
        <f>SUM(BI112:BI116)</f>
        <v>0</v>
      </c>
      <c r="BJ110" s="223">
        <f>SUM(BJ112:BJ116)</f>
        <v>960.31165</v>
      </c>
      <c r="BK110" s="223">
        <f>SUM(BK111:BK116)</f>
        <v>38420.1522</v>
      </c>
      <c r="BL110" s="223">
        <f>SUM(BL111:BL116)</f>
        <v>14801.71674</v>
      </c>
      <c r="BM110" s="223">
        <f>SUM(BM112:BM116)</f>
        <v>18813.83481</v>
      </c>
      <c r="BN110" s="223">
        <f>SUM(BN112:BN116)</f>
        <v>0</v>
      </c>
      <c r="BO110" s="223">
        <f>SUM(BO112:BO116)</f>
        <v>4804.600649999999</v>
      </c>
      <c r="BP110" s="314">
        <f>SUM(BP111:BP116)</f>
        <v>128.7109499999999</v>
      </c>
      <c r="BQ110" s="315">
        <f>SUM(BQ111:BQ116)</f>
        <v>0</v>
      </c>
      <c r="BR110" s="315">
        <f>SUM(BR112:BR116)</f>
        <v>128.7109499999999</v>
      </c>
      <c r="BS110" s="315">
        <f>SUM(BS112:BS116)</f>
        <v>0</v>
      </c>
      <c r="BT110" s="315">
        <f>SUM(BT112:BT116)</f>
        <v>0</v>
      </c>
      <c r="BV110" s="305"/>
      <c r="BW110" s="349" t="s">
        <v>288</v>
      </c>
      <c r="BY110" s="223">
        <f>SUM(BY112:BY116)</f>
        <v>128.7</v>
      </c>
      <c r="BZ110" s="223">
        <f>SUM(BZ112:BZ116)</f>
        <v>5</v>
      </c>
      <c r="CA110" s="315">
        <f>CA111</f>
        <v>1</v>
      </c>
      <c r="CB110" s="223">
        <f>SUM(CB112:CB116)</f>
        <v>0</v>
      </c>
      <c r="CC110" s="223">
        <f>SUM(CC112:CC116)</f>
        <v>0</v>
      </c>
    </row>
    <row r="111" spans="1:81" s="229" customFormat="1" ht="14.25" customHeight="1">
      <c r="A111" s="261">
        <v>86</v>
      </c>
      <c r="B111" s="268" t="s">
        <v>8</v>
      </c>
      <c r="C111" s="232">
        <f aca="true" t="shared" si="217" ref="C111:C116">E111+D111+F111</f>
        <v>45937.66</v>
      </c>
      <c r="D111" s="232">
        <v>13375.6</v>
      </c>
      <c r="E111" s="232">
        <f aca="true" t="shared" si="218" ref="E111:E116">M111</f>
        <v>30242.26</v>
      </c>
      <c r="F111" s="232">
        <v>2319.8</v>
      </c>
      <c r="G111" s="232"/>
      <c r="H111" s="232">
        <f aca="true" t="shared" si="219" ref="H111:H116">I111+J111+K111</f>
        <v>20563.01674</v>
      </c>
      <c r="I111" s="232">
        <v>5761.3</v>
      </c>
      <c r="J111" s="232">
        <f aca="true" t="shared" si="220" ref="J111:J116">AL111</f>
        <v>13680.87258</v>
      </c>
      <c r="K111" s="232">
        <f aca="true" t="shared" si="221" ref="K111:K116">BF111</f>
        <v>1120.84416</v>
      </c>
      <c r="L111" s="269"/>
      <c r="M111" s="232">
        <f t="shared" si="164"/>
        <v>30242.26</v>
      </c>
      <c r="N111" s="232">
        <f>44424.047-14181.787</f>
        <v>30242.26</v>
      </c>
      <c r="O111" s="232"/>
      <c r="P111" s="232"/>
      <c r="Q111" s="232"/>
      <c r="R111" s="234">
        <f aca="true" t="shared" si="222" ref="R111:R116">S111+T111+U111+V111</f>
        <v>28515.783</v>
      </c>
      <c r="S111" s="232">
        <f>15107.053+13408.73</f>
        <v>28515.783</v>
      </c>
      <c r="T111" s="232"/>
      <c r="U111" s="232"/>
      <c r="V111" s="235"/>
      <c r="W111" s="232">
        <f aca="true" t="shared" si="223" ref="W111:W116">X111+Y111+Z111+AA111</f>
        <v>1726.476999999999</v>
      </c>
      <c r="X111" s="232">
        <f aca="true" t="shared" si="224" ref="X111:AA116">N111-S111</f>
        <v>1726.476999999999</v>
      </c>
      <c r="Y111" s="232">
        <f t="shared" si="224"/>
        <v>0</v>
      </c>
      <c r="Z111" s="232">
        <f t="shared" si="224"/>
        <v>0</v>
      </c>
      <c r="AA111" s="232">
        <f t="shared" si="224"/>
        <v>0</v>
      </c>
      <c r="AB111" s="232">
        <f aca="true" t="shared" si="225" ref="AB111:AB116">AC111+AD111+AE111+AF111</f>
        <v>0</v>
      </c>
      <c r="AC111" s="232"/>
      <c r="AD111" s="232">
        <f aca="true" t="shared" si="226" ref="AD111:AF116">T111</f>
        <v>0</v>
      </c>
      <c r="AE111" s="232">
        <f t="shared" si="226"/>
        <v>0</v>
      </c>
      <c r="AF111" s="232">
        <f t="shared" si="226"/>
        <v>0</v>
      </c>
      <c r="AG111" s="232">
        <f aca="true" t="shared" si="227" ref="AG111:AG116">AH111+AI111+AJ111+AK111</f>
        <v>0</v>
      </c>
      <c r="AH111" s="232"/>
      <c r="AI111" s="232"/>
      <c r="AJ111" s="232"/>
      <c r="AK111" s="236"/>
      <c r="AL111" s="234">
        <f aca="true" t="shared" si="228" ref="AL111:AL116">AM111+AN111+AO111+AP111</f>
        <v>13680.87258</v>
      </c>
      <c r="AM111" s="232">
        <v>13680.87258</v>
      </c>
      <c r="AN111" s="232"/>
      <c r="AO111" s="232"/>
      <c r="AP111" s="235"/>
      <c r="AQ111" s="232">
        <f aca="true" t="shared" si="229" ref="AQ111:AQ116">AR111+AS111+AT111+AU111</f>
        <v>13680.87258</v>
      </c>
      <c r="AR111" s="232">
        <v>13680.87258</v>
      </c>
      <c r="AS111" s="232"/>
      <c r="AT111" s="232"/>
      <c r="AU111" s="232"/>
      <c r="AV111" s="232">
        <f aca="true" t="shared" si="230" ref="AV111:AV116">AW111+AX111+AY111+AZ111</f>
        <v>13680.87258</v>
      </c>
      <c r="AW111" s="232">
        <v>13680.87258</v>
      </c>
      <c r="AX111" s="232"/>
      <c r="AY111" s="232"/>
      <c r="AZ111" s="232"/>
      <c r="BA111" s="232">
        <f aca="true" t="shared" si="231" ref="BA111:BA116">BB111+BC111+BD111+BE111</f>
        <v>1120.84416</v>
      </c>
      <c r="BB111" s="232">
        <v>1120.84416</v>
      </c>
      <c r="BC111" s="232"/>
      <c r="BD111" s="232"/>
      <c r="BE111" s="232"/>
      <c r="BF111" s="232">
        <f aca="true" t="shared" si="232" ref="BF111:BF116">BG111+BH111+BI111+BJ111</f>
        <v>1120.84416</v>
      </c>
      <c r="BG111" s="232">
        <v>1120.84416</v>
      </c>
      <c r="BH111" s="232"/>
      <c r="BI111" s="232"/>
      <c r="BJ111" s="232"/>
      <c r="BK111" s="232">
        <f aca="true" t="shared" si="233" ref="BK111:BK116">BL111+BM111+BN111+BO111</f>
        <v>14801.71674</v>
      </c>
      <c r="BL111" s="232">
        <f aca="true" t="shared" si="234" ref="BL111:BO116">AW111+BG111</f>
        <v>14801.71674</v>
      </c>
      <c r="BM111" s="232">
        <f t="shared" si="234"/>
        <v>0</v>
      </c>
      <c r="BN111" s="232">
        <f t="shared" si="234"/>
        <v>0</v>
      </c>
      <c r="BO111" s="232">
        <f t="shared" si="234"/>
        <v>0</v>
      </c>
      <c r="BP111" s="316">
        <f aca="true" t="shared" si="235" ref="BP111:BP116">BQ111+BR111+BS111+BT111</f>
        <v>0</v>
      </c>
      <c r="BQ111" s="317">
        <f aca="true" t="shared" si="236" ref="BQ111:BT116">AM111-AW111</f>
        <v>0</v>
      </c>
      <c r="BR111" s="317">
        <f t="shared" si="236"/>
        <v>0</v>
      </c>
      <c r="BS111" s="317">
        <f t="shared" si="236"/>
        <v>0</v>
      </c>
      <c r="BT111" s="317">
        <f t="shared" si="236"/>
        <v>0</v>
      </c>
      <c r="BV111" s="305">
        <v>1</v>
      </c>
      <c r="BW111" s="332" t="s">
        <v>229</v>
      </c>
      <c r="BY111" s="232"/>
      <c r="BZ111" s="232"/>
      <c r="CA111" s="317">
        <v>1</v>
      </c>
      <c r="CB111" s="232"/>
      <c r="CC111" s="232"/>
    </row>
    <row r="112" spans="1:81" s="229" customFormat="1" ht="24.75" customHeight="1">
      <c r="A112" s="261">
        <v>87</v>
      </c>
      <c r="B112" s="239" t="s">
        <v>135</v>
      </c>
      <c r="C112" s="232">
        <f t="shared" si="217"/>
        <v>6539.7880000000005</v>
      </c>
      <c r="D112" s="233"/>
      <c r="E112" s="232">
        <f t="shared" si="218"/>
        <v>6539.7880000000005</v>
      </c>
      <c r="F112" s="233"/>
      <c r="G112" s="232"/>
      <c r="H112" s="232">
        <f t="shared" si="219"/>
        <v>7289.81641</v>
      </c>
      <c r="I112" s="233"/>
      <c r="J112" s="232">
        <f t="shared" si="220"/>
        <v>6539.7880000000005</v>
      </c>
      <c r="K112" s="232">
        <f t="shared" si="221"/>
        <v>750.02841</v>
      </c>
      <c r="L112" s="240"/>
      <c r="M112" s="232">
        <f t="shared" si="164"/>
        <v>6539.7880000000005</v>
      </c>
      <c r="N112" s="232"/>
      <c r="O112" s="232">
        <v>3501.7</v>
      </c>
      <c r="P112" s="232"/>
      <c r="Q112" s="232">
        <v>3038.088</v>
      </c>
      <c r="R112" s="234">
        <f t="shared" si="222"/>
        <v>6539.7880000000005</v>
      </c>
      <c r="S112" s="232"/>
      <c r="T112" s="232">
        <v>3501.7</v>
      </c>
      <c r="U112" s="232"/>
      <c r="V112" s="235">
        <f>2223.248+814.84</f>
        <v>3038.088</v>
      </c>
      <c r="W112" s="232">
        <f t="shared" si="223"/>
        <v>0</v>
      </c>
      <c r="X112" s="232">
        <f t="shared" si="224"/>
        <v>0</v>
      </c>
      <c r="Y112" s="232">
        <f t="shared" si="224"/>
        <v>0</v>
      </c>
      <c r="Z112" s="232">
        <f t="shared" si="224"/>
        <v>0</v>
      </c>
      <c r="AA112" s="232">
        <f t="shared" si="224"/>
        <v>0</v>
      </c>
      <c r="AB112" s="232">
        <f t="shared" si="225"/>
        <v>6539.7880000000005</v>
      </c>
      <c r="AC112" s="232"/>
      <c r="AD112" s="232">
        <f t="shared" si="226"/>
        <v>3501.7</v>
      </c>
      <c r="AE112" s="232">
        <f t="shared" si="226"/>
        <v>0</v>
      </c>
      <c r="AF112" s="232">
        <f t="shared" si="226"/>
        <v>3038.088</v>
      </c>
      <c r="AG112" s="232">
        <f t="shared" si="227"/>
        <v>0</v>
      </c>
      <c r="AH112" s="232"/>
      <c r="AI112" s="232"/>
      <c r="AJ112" s="232"/>
      <c r="AK112" s="236"/>
      <c r="AL112" s="234">
        <f t="shared" si="228"/>
        <v>6539.7880000000005</v>
      </c>
      <c r="AM112" s="232"/>
      <c r="AN112" s="232">
        <f>AD112</f>
        <v>3501.7</v>
      </c>
      <c r="AO112" s="232"/>
      <c r="AP112" s="235">
        <f>AF112</f>
        <v>3038.088</v>
      </c>
      <c r="AQ112" s="232">
        <f t="shared" si="229"/>
        <v>6534.31928</v>
      </c>
      <c r="AR112" s="232"/>
      <c r="AS112" s="232">
        <f>2407.878+1088.35328</f>
        <v>3496.23128</v>
      </c>
      <c r="AT112" s="232"/>
      <c r="AU112" s="232">
        <f>709.83291+461.2281+283.53007+757.54346+825.95346</f>
        <v>3038.0879999999997</v>
      </c>
      <c r="AV112" s="232">
        <f t="shared" si="230"/>
        <v>6534.31928</v>
      </c>
      <c r="AW112" s="232"/>
      <c r="AX112" s="232">
        <f>2407.878+1088.35328</f>
        <v>3496.23128</v>
      </c>
      <c r="AY112" s="232"/>
      <c r="AZ112" s="232">
        <f>709.83291+461.2281+283.53007+757.54346+825.95346</f>
        <v>3038.0879999999997</v>
      </c>
      <c r="BA112" s="232">
        <f t="shared" si="231"/>
        <v>750.02841</v>
      </c>
      <c r="BB112" s="232"/>
      <c r="BC112" s="232">
        <v>188.78476</v>
      </c>
      <c r="BD112" s="232"/>
      <c r="BE112" s="232">
        <v>561.24365</v>
      </c>
      <c r="BF112" s="232">
        <f t="shared" si="232"/>
        <v>750.02841</v>
      </c>
      <c r="BG112" s="232"/>
      <c r="BH112" s="232">
        <v>188.78476</v>
      </c>
      <c r="BI112" s="232"/>
      <c r="BJ112" s="232">
        <v>561.24365</v>
      </c>
      <c r="BK112" s="232">
        <f t="shared" si="233"/>
        <v>7284.34769</v>
      </c>
      <c r="BL112" s="232">
        <f t="shared" si="234"/>
        <v>0</v>
      </c>
      <c r="BM112" s="232">
        <f t="shared" si="234"/>
        <v>3685.01604</v>
      </c>
      <c r="BN112" s="232">
        <f t="shared" si="234"/>
        <v>0</v>
      </c>
      <c r="BO112" s="232">
        <f t="shared" si="234"/>
        <v>3599.3316499999996</v>
      </c>
      <c r="BP112" s="316">
        <f t="shared" si="235"/>
        <v>5.468719999999848</v>
      </c>
      <c r="BQ112" s="317">
        <f t="shared" si="236"/>
        <v>0</v>
      </c>
      <c r="BR112" s="317">
        <f t="shared" si="236"/>
        <v>5.468719999999848</v>
      </c>
      <c r="BS112" s="317">
        <f t="shared" si="236"/>
        <v>0</v>
      </c>
      <c r="BT112" s="317">
        <f t="shared" si="236"/>
        <v>0</v>
      </c>
      <c r="BU112" s="229">
        <v>1</v>
      </c>
      <c r="BV112" s="305"/>
      <c r="BW112" s="331" t="s">
        <v>254</v>
      </c>
      <c r="BY112" s="232">
        <v>5.5</v>
      </c>
      <c r="BZ112" s="232">
        <v>1</v>
      </c>
      <c r="CA112" s="317"/>
      <c r="CB112" s="232"/>
      <c r="CC112" s="232"/>
    </row>
    <row r="113" spans="1:81" s="229" customFormat="1" ht="20.25" customHeight="1">
      <c r="A113" s="230">
        <v>88</v>
      </c>
      <c r="B113" s="239" t="s">
        <v>136</v>
      </c>
      <c r="C113" s="232">
        <f t="shared" si="217"/>
        <v>1735.06</v>
      </c>
      <c r="D113" s="233"/>
      <c r="E113" s="232">
        <f t="shared" si="218"/>
        <v>1735.06</v>
      </c>
      <c r="F113" s="233"/>
      <c r="G113" s="232"/>
      <c r="H113" s="232">
        <f t="shared" si="219"/>
        <v>2176.529</v>
      </c>
      <c r="I113" s="233"/>
      <c r="J113" s="232">
        <f t="shared" si="220"/>
        <v>1735.06</v>
      </c>
      <c r="K113" s="232">
        <f t="shared" si="221"/>
        <v>441.469</v>
      </c>
      <c r="L113" s="240"/>
      <c r="M113" s="232">
        <f t="shared" si="164"/>
        <v>1735.06</v>
      </c>
      <c r="N113" s="232"/>
      <c r="O113" s="232">
        <f>929.228-0.369</f>
        <v>928.8589999999999</v>
      </c>
      <c r="P113" s="232"/>
      <c r="Q113" s="232">
        <v>806.201</v>
      </c>
      <c r="R113" s="234">
        <f t="shared" si="222"/>
        <v>1735.06</v>
      </c>
      <c r="S113" s="232"/>
      <c r="T113" s="232">
        <v>928.859</v>
      </c>
      <c r="U113" s="232"/>
      <c r="V113" s="235">
        <v>806.201</v>
      </c>
      <c r="W113" s="232">
        <f t="shared" si="223"/>
        <v>0</v>
      </c>
      <c r="X113" s="232">
        <f t="shared" si="224"/>
        <v>0</v>
      </c>
      <c r="Y113" s="232">
        <f t="shared" si="224"/>
        <v>0</v>
      </c>
      <c r="Z113" s="232">
        <f t="shared" si="224"/>
        <v>0</v>
      </c>
      <c r="AA113" s="232">
        <f t="shared" si="224"/>
        <v>0</v>
      </c>
      <c r="AB113" s="232">
        <f t="shared" si="225"/>
        <v>1735.06</v>
      </c>
      <c r="AC113" s="232"/>
      <c r="AD113" s="232">
        <f t="shared" si="226"/>
        <v>928.859</v>
      </c>
      <c r="AE113" s="232">
        <f t="shared" si="226"/>
        <v>0</v>
      </c>
      <c r="AF113" s="232">
        <f t="shared" si="226"/>
        <v>806.201</v>
      </c>
      <c r="AG113" s="232">
        <f t="shared" si="227"/>
        <v>0</v>
      </c>
      <c r="AH113" s="232"/>
      <c r="AI113" s="232"/>
      <c r="AJ113" s="232"/>
      <c r="AK113" s="236"/>
      <c r="AL113" s="234">
        <f t="shared" si="228"/>
        <v>1735.06</v>
      </c>
      <c r="AM113" s="232"/>
      <c r="AN113" s="232">
        <f>AD113</f>
        <v>928.859</v>
      </c>
      <c r="AO113" s="232"/>
      <c r="AP113" s="235">
        <f>AF113</f>
        <v>806.201</v>
      </c>
      <c r="AQ113" s="232">
        <f t="shared" si="229"/>
        <v>1611.81777</v>
      </c>
      <c r="AR113" s="232"/>
      <c r="AS113" s="232">
        <f>805.61677</f>
        <v>805.61677</v>
      </c>
      <c r="AT113" s="232"/>
      <c r="AU113" s="232">
        <v>806.201</v>
      </c>
      <c r="AV113" s="232">
        <f t="shared" si="230"/>
        <v>1611.81777</v>
      </c>
      <c r="AW113" s="232"/>
      <c r="AX113" s="232">
        <f>805.61677</f>
        <v>805.61677</v>
      </c>
      <c r="AY113" s="232"/>
      <c r="AZ113" s="232">
        <v>806.201</v>
      </c>
      <c r="BA113" s="232">
        <f t="shared" si="231"/>
        <v>441.469</v>
      </c>
      <c r="BB113" s="232"/>
      <c r="BC113" s="232">
        <v>42.401</v>
      </c>
      <c r="BD113" s="232"/>
      <c r="BE113" s="232">
        <v>399.068</v>
      </c>
      <c r="BF113" s="232">
        <f t="shared" si="232"/>
        <v>441.469</v>
      </c>
      <c r="BG113" s="232"/>
      <c r="BH113" s="232">
        <v>42.401</v>
      </c>
      <c r="BI113" s="232"/>
      <c r="BJ113" s="232">
        <v>399.068</v>
      </c>
      <c r="BK113" s="232">
        <f t="shared" si="233"/>
        <v>2053.2867699999997</v>
      </c>
      <c r="BL113" s="232">
        <f t="shared" si="234"/>
        <v>0</v>
      </c>
      <c r="BM113" s="232">
        <f t="shared" si="234"/>
        <v>848.0177699999999</v>
      </c>
      <c r="BN113" s="232">
        <f t="shared" si="234"/>
        <v>0</v>
      </c>
      <c r="BO113" s="232">
        <f t="shared" si="234"/>
        <v>1205.269</v>
      </c>
      <c r="BP113" s="316">
        <f t="shared" si="235"/>
        <v>123.24223000000006</v>
      </c>
      <c r="BQ113" s="317">
        <f t="shared" si="236"/>
        <v>0</v>
      </c>
      <c r="BR113" s="317">
        <f t="shared" si="236"/>
        <v>123.24223000000006</v>
      </c>
      <c r="BS113" s="317">
        <f t="shared" si="236"/>
        <v>0</v>
      </c>
      <c r="BT113" s="317">
        <f t="shared" si="236"/>
        <v>0</v>
      </c>
      <c r="BU113" s="229">
        <v>1</v>
      </c>
      <c r="BV113" s="305"/>
      <c r="BW113" s="331" t="s">
        <v>255</v>
      </c>
      <c r="BY113" s="232">
        <v>123.2</v>
      </c>
      <c r="BZ113" s="232">
        <v>1</v>
      </c>
      <c r="CA113" s="317"/>
      <c r="CB113" s="232"/>
      <c r="CC113" s="232"/>
    </row>
    <row r="114" spans="1:81" s="229" customFormat="1" ht="15" customHeight="1">
      <c r="A114" s="230">
        <v>89</v>
      </c>
      <c r="B114" s="239" t="s">
        <v>137</v>
      </c>
      <c r="C114" s="232">
        <f t="shared" si="217"/>
        <v>10409.432</v>
      </c>
      <c r="D114" s="233"/>
      <c r="E114" s="232">
        <f t="shared" si="218"/>
        <v>10409.432</v>
      </c>
      <c r="F114" s="233"/>
      <c r="G114" s="232"/>
      <c r="H114" s="232">
        <f t="shared" si="219"/>
        <v>11054.452000000001</v>
      </c>
      <c r="I114" s="233"/>
      <c r="J114" s="232">
        <f t="shared" si="220"/>
        <v>10409.432</v>
      </c>
      <c r="K114" s="232">
        <f t="shared" si="221"/>
        <v>645.02</v>
      </c>
      <c r="L114" s="240"/>
      <c r="M114" s="232">
        <f t="shared" si="164"/>
        <v>10409.432</v>
      </c>
      <c r="N114" s="232"/>
      <c r="O114" s="232">
        <v>10409.432</v>
      </c>
      <c r="P114" s="232"/>
      <c r="Q114" s="232"/>
      <c r="R114" s="234">
        <f t="shared" si="222"/>
        <v>10409.432</v>
      </c>
      <c r="S114" s="232"/>
      <c r="T114" s="232">
        <f>5573.684+4835.748</f>
        <v>10409.432</v>
      </c>
      <c r="U114" s="232"/>
      <c r="V114" s="235"/>
      <c r="W114" s="232">
        <f t="shared" si="223"/>
        <v>0</v>
      </c>
      <c r="X114" s="232">
        <f t="shared" si="224"/>
        <v>0</v>
      </c>
      <c r="Y114" s="232">
        <f t="shared" si="224"/>
        <v>0</v>
      </c>
      <c r="Z114" s="232">
        <f t="shared" si="224"/>
        <v>0</v>
      </c>
      <c r="AA114" s="232">
        <f t="shared" si="224"/>
        <v>0</v>
      </c>
      <c r="AB114" s="232">
        <f t="shared" si="225"/>
        <v>10409.432</v>
      </c>
      <c r="AC114" s="232"/>
      <c r="AD114" s="232">
        <f t="shared" si="226"/>
        <v>10409.432</v>
      </c>
      <c r="AE114" s="232">
        <f t="shared" si="226"/>
        <v>0</v>
      </c>
      <c r="AF114" s="232">
        <f t="shared" si="226"/>
        <v>0</v>
      </c>
      <c r="AG114" s="232">
        <f t="shared" si="227"/>
        <v>0</v>
      </c>
      <c r="AH114" s="232"/>
      <c r="AI114" s="232"/>
      <c r="AJ114" s="232"/>
      <c r="AK114" s="236"/>
      <c r="AL114" s="234">
        <f t="shared" si="228"/>
        <v>10409.432</v>
      </c>
      <c r="AM114" s="232"/>
      <c r="AN114" s="232">
        <f>AD114</f>
        <v>10409.432</v>
      </c>
      <c r="AO114" s="232"/>
      <c r="AP114" s="235"/>
      <c r="AQ114" s="232">
        <f t="shared" si="229"/>
        <v>10409.432</v>
      </c>
      <c r="AR114" s="232"/>
      <c r="AS114" s="232">
        <f>1573.684+2793.32+1206.68+4835.748</f>
        <v>10409.432</v>
      </c>
      <c r="AT114" s="232"/>
      <c r="AU114" s="232"/>
      <c r="AV114" s="232">
        <f t="shared" si="230"/>
        <v>10409.432</v>
      </c>
      <c r="AW114" s="232"/>
      <c r="AX114" s="232">
        <f>1573.684+2793.32+1206.68+4835.748</f>
        <v>10409.432</v>
      </c>
      <c r="AY114" s="232"/>
      <c r="AZ114" s="232"/>
      <c r="BA114" s="232">
        <f t="shared" si="231"/>
        <v>645.02</v>
      </c>
      <c r="BB114" s="232"/>
      <c r="BC114" s="232">
        <v>645.02</v>
      </c>
      <c r="BD114" s="232"/>
      <c r="BE114" s="232"/>
      <c r="BF114" s="232">
        <f t="shared" si="232"/>
        <v>645.02</v>
      </c>
      <c r="BG114" s="232"/>
      <c r="BH114" s="232">
        <v>645.02</v>
      </c>
      <c r="BI114" s="232"/>
      <c r="BJ114" s="232"/>
      <c r="BK114" s="232">
        <f t="shared" si="233"/>
        <v>11054.452000000001</v>
      </c>
      <c r="BL114" s="232">
        <f t="shared" si="234"/>
        <v>0</v>
      </c>
      <c r="BM114" s="232">
        <f t="shared" si="234"/>
        <v>11054.452000000001</v>
      </c>
      <c r="BN114" s="232">
        <f t="shared" si="234"/>
        <v>0</v>
      </c>
      <c r="BO114" s="232">
        <f t="shared" si="234"/>
        <v>0</v>
      </c>
      <c r="BP114" s="316">
        <f t="shared" si="235"/>
        <v>0</v>
      </c>
      <c r="BQ114" s="317">
        <f t="shared" si="236"/>
        <v>0</v>
      </c>
      <c r="BR114" s="317">
        <f t="shared" si="236"/>
        <v>0</v>
      </c>
      <c r="BS114" s="317">
        <f t="shared" si="236"/>
        <v>0</v>
      </c>
      <c r="BT114" s="317">
        <f t="shared" si="236"/>
        <v>0</v>
      </c>
      <c r="BU114" s="229">
        <v>1</v>
      </c>
      <c r="BV114" s="305"/>
      <c r="BW114" s="331" t="s">
        <v>228</v>
      </c>
      <c r="BY114" s="232"/>
      <c r="BZ114" s="232">
        <v>1</v>
      </c>
      <c r="CA114" s="317"/>
      <c r="CB114" s="232"/>
      <c r="CC114" s="232"/>
    </row>
    <row r="115" spans="1:81" s="229" customFormat="1" ht="15" customHeight="1">
      <c r="A115" s="230">
        <v>90</v>
      </c>
      <c r="B115" s="239" t="s">
        <v>138</v>
      </c>
      <c r="C115" s="232">
        <f t="shared" si="217"/>
        <v>754.982</v>
      </c>
      <c r="D115" s="233"/>
      <c r="E115" s="232">
        <f t="shared" si="218"/>
        <v>754.982</v>
      </c>
      <c r="F115" s="233"/>
      <c r="G115" s="232"/>
      <c r="H115" s="232">
        <f t="shared" si="219"/>
        <v>1299.9589999999998</v>
      </c>
      <c r="I115" s="233"/>
      <c r="J115" s="232">
        <f t="shared" si="220"/>
        <v>754.982</v>
      </c>
      <c r="K115" s="232">
        <f t="shared" si="221"/>
        <v>544.977</v>
      </c>
      <c r="L115" s="240"/>
      <c r="M115" s="232">
        <f t="shared" si="164"/>
        <v>754.982</v>
      </c>
      <c r="N115" s="232"/>
      <c r="O115" s="232">
        <v>754.982</v>
      </c>
      <c r="P115" s="232"/>
      <c r="Q115" s="232"/>
      <c r="R115" s="234">
        <f t="shared" si="222"/>
        <v>754.982</v>
      </c>
      <c r="S115" s="232"/>
      <c r="T115" s="232">
        <v>754.982</v>
      </c>
      <c r="U115" s="232"/>
      <c r="V115" s="235"/>
      <c r="W115" s="232">
        <f t="shared" si="223"/>
        <v>0</v>
      </c>
      <c r="X115" s="232">
        <f t="shared" si="224"/>
        <v>0</v>
      </c>
      <c r="Y115" s="232">
        <f t="shared" si="224"/>
        <v>0</v>
      </c>
      <c r="Z115" s="232">
        <f t="shared" si="224"/>
        <v>0</v>
      </c>
      <c r="AA115" s="232">
        <f t="shared" si="224"/>
        <v>0</v>
      </c>
      <c r="AB115" s="232">
        <f t="shared" si="225"/>
        <v>754.982</v>
      </c>
      <c r="AC115" s="232"/>
      <c r="AD115" s="232">
        <f t="shared" si="226"/>
        <v>754.982</v>
      </c>
      <c r="AE115" s="232">
        <f t="shared" si="226"/>
        <v>0</v>
      </c>
      <c r="AF115" s="232">
        <f t="shared" si="226"/>
        <v>0</v>
      </c>
      <c r="AG115" s="232">
        <f t="shared" si="227"/>
        <v>0</v>
      </c>
      <c r="AH115" s="232"/>
      <c r="AI115" s="232"/>
      <c r="AJ115" s="232"/>
      <c r="AK115" s="236"/>
      <c r="AL115" s="234">
        <f t="shared" si="228"/>
        <v>754.982</v>
      </c>
      <c r="AM115" s="232"/>
      <c r="AN115" s="232">
        <f>AD115</f>
        <v>754.982</v>
      </c>
      <c r="AO115" s="232"/>
      <c r="AP115" s="235"/>
      <c r="AQ115" s="232">
        <f t="shared" si="229"/>
        <v>754.982</v>
      </c>
      <c r="AR115" s="232"/>
      <c r="AS115" s="232">
        <v>754.982</v>
      </c>
      <c r="AT115" s="232"/>
      <c r="AU115" s="232"/>
      <c r="AV115" s="232">
        <f t="shared" si="230"/>
        <v>754.982</v>
      </c>
      <c r="AW115" s="232"/>
      <c r="AX115" s="232">
        <v>754.982</v>
      </c>
      <c r="AY115" s="232"/>
      <c r="AZ115" s="232"/>
      <c r="BA115" s="232">
        <f t="shared" si="231"/>
        <v>544.977</v>
      </c>
      <c r="BB115" s="232"/>
      <c r="BC115" s="232">
        <v>544.977</v>
      </c>
      <c r="BD115" s="232"/>
      <c r="BE115" s="232"/>
      <c r="BF115" s="232">
        <f t="shared" si="232"/>
        <v>544.977</v>
      </c>
      <c r="BG115" s="232"/>
      <c r="BH115" s="232">
        <v>544.977</v>
      </c>
      <c r="BI115" s="232"/>
      <c r="BJ115" s="232"/>
      <c r="BK115" s="232">
        <f t="shared" si="233"/>
        <v>1299.9589999999998</v>
      </c>
      <c r="BL115" s="232">
        <f t="shared" si="234"/>
        <v>0</v>
      </c>
      <c r="BM115" s="232">
        <f t="shared" si="234"/>
        <v>1299.9589999999998</v>
      </c>
      <c r="BN115" s="232">
        <f t="shared" si="234"/>
        <v>0</v>
      </c>
      <c r="BO115" s="232">
        <f t="shared" si="234"/>
        <v>0</v>
      </c>
      <c r="BP115" s="316">
        <f t="shared" si="235"/>
        <v>0</v>
      </c>
      <c r="BQ115" s="317">
        <f t="shared" si="236"/>
        <v>0</v>
      </c>
      <c r="BR115" s="317">
        <f t="shared" si="236"/>
        <v>0</v>
      </c>
      <c r="BS115" s="317">
        <f t="shared" si="236"/>
        <v>0</v>
      </c>
      <c r="BT115" s="317">
        <f t="shared" si="236"/>
        <v>0</v>
      </c>
      <c r="BU115" s="229">
        <v>1</v>
      </c>
      <c r="BV115" s="305"/>
      <c r="BW115" s="331" t="s">
        <v>228</v>
      </c>
      <c r="BY115" s="232"/>
      <c r="BZ115" s="232">
        <v>1</v>
      </c>
      <c r="CA115" s="317"/>
      <c r="CB115" s="232"/>
      <c r="CC115" s="232"/>
    </row>
    <row r="116" spans="1:81" s="229" customFormat="1" ht="15" customHeight="1">
      <c r="A116" s="230">
        <v>91</v>
      </c>
      <c r="B116" s="239" t="s">
        <v>139</v>
      </c>
      <c r="C116" s="232">
        <f t="shared" si="217"/>
        <v>1823.496</v>
      </c>
      <c r="D116" s="233"/>
      <c r="E116" s="232">
        <f t="shared" si="218"/>
        <v>1823.496</v>
      </c>
      <c r="F116" s="233"/>
      <c r="G116" s="232"/>
      <c r="H116" s="232">
        <f t="shared" si="219"/>
        <v>1926.39</v>
      </c>
      <c r="I116" s="233"/>
      <c r="J116" s="232">
        <f t="shared" si="220"/>
        <v>1823.496</v>
      </c>
      <c r="K116" s="232">
        <f t="shared" si="221"/>
        <v>102.894</v>
      </c>
      <c r="L116" s="240"/>
      <c r="M116" s="232">
        <f t="shared" si="164"/>
        <v>1823.496</v>
      </c>
      <c r="N116" s="232"/>
      <c r="O116" s="232">
        <v>1823.496</v>
      </c>
      <c r="P116" s="232"/>
      <c r="Q116" s="232"/>
      <c r="R116" s="234">
        <f t="shared" si="222"/>
        <v>1823.496</v>
      </c>
      <c r="S116" s="232"/>
      <c r="T116" s="232">
        <v>1823.496</v>
      </c>
      <c r="U116" s="232"/>
      <c r="V116" s="235"/>
      <c r="W116" s="232">
        <f t="shared" si="223"/>
        <v>0</v>
      </c>
      <c r="X116" s="232">
        <f t="shared" si="224"/>
        <v>0</v>
      </c>
      <c r="Y116" s="232">
        <f t="shared" si="224"/>
        <v>0</v>
      </c>
      <c r="Z116" s="232">
        <f t="shared" si="224"/>
        <v>0</v>
      </c>
      <c r="AA116" s="232">
        <f t="shared" si="224"/>
        <v>0</v>
      </c>
      <c r="AB116" s="232">
        <f t="shared" si="225"/>
        <v>1823.496</v>
      </c>
      <c r="AC116" s="232"/>
      <c r="AD116" s="232">
        <f t="shared" si="226"/>
        <v>1823.496</v>
      </c>
      <c r="AE116" s="232">
        <f t="shared" si="226"/>
        <v>0</v>
      </c>
      <c r="AF116" s="232">
        <f t="shared" si="226"/>
        <v>0</v>
      </c>
      <c r="AG116" s="232">
        <f t="shared" si="227"/>
        <v>0</v>
      </c>
      <c r="AH116" s="232"/>
      <c r="AI116" s="232"/>
      <c r="AJ116" s="232"/>
      <c r="AK116" s="236"/>
      <c r="AL116" s="234">
        <f t="shared" si="228"/>
        <v>1823.496</v>
      </c>
      <c r="AM116" s="232"/>
      <c r="AN116" s="232">
        <f>AD116</f>
        <v>1823.496</v>
      </c>
      <c r="AO116" s="232"/>
      <c r="AP116" s="235"/>
      <c r="AQ116" s="232">
        <f t="shared" si="229"/>
        <v>1823.496</v>
      </c>
      <c r="AR116" s="232"/>
      <c r="AS116" s="232">
        <v>1823.496</v>
      </c>
      <c r="AT116" s="232"/>
      <c r="AU116" s="232"/>
      <c r="AV116" s="232">
        <f t="shared" si="230"/>
        <v>1823.496</v>
      </c>
      <c r="AW116" s="232"/>
      <c r="AX116" s="232">
        <v>1823.496</v>
      </c>
      <c r="AY116" s="232"/>
      <c r="AZ116" s="232"/>
      <c r="BA116" s="232">
        <f t="shared" si="231"/>
        <v>102.894</v>
      </c>
      <c r="BB116" s="232"/>
      <c r="BC116" s="232">
        <v>102.894</v>
      </c>
      <c r="BD116" s="232"/>
      <c r="BE116" s="232"/>
      <c r="BF116" s="232">
        <f t="shared" si="232"/>
        <v>102.894</v>
      </c>
      <c r="BG116" s="232"/>
      <c r="BH116" s="232">
        <v>102.894</v>
      </c>
      <c r="BI116" s="232"/>
      <c r="BJ116" s="232"/>
      <c r="BK116" s="232">
        <f t="shared" si="233"/>
        <v>1926.39</v>
      </c>
      <c r="BL116" s="232">
        <f t="shared" si="234"/>
        <v>0</v>
      </c>
      <c r="BM116" s="232">
        <f t="shared" si="234"/>
        <v>1926.39</v>
      </c>
      <c r="BN116" s="232">
        <f t="shared" si="234"/>
        <v>0</v>
      </c>
      <c r="BO116" s="232">
        <f t="shared" si="234"/>
        <v>0</v>
      </c>
      <c r="BP116" s="316">
        <f t="shared" si="235"/>
        <v>0</v>
      </c>
      <c r="BQ116" s="317">
        <f t="shared" si="236"/>
        <v>0</v>
      </c>
      <c r="BR116" s="317">
        <f t="shared" si="236"/>
        <v>0</v>
      </c>
      <c r="BS116" s="317">
        <f t="shared" si="236"/>
        <v>0</v>
      </c>
      <c r="BT116" s="317">
        <f t="shared" si="236"/>
        <v>0</v>
      </c>
      <c r="BU116" s="229">
        <v>1</v>
      </c>
      <c r="BV116" s="305"/>
      <c r="BW116" s="331" t="s">
        <v>228</v>
      </c>
      <c r="BY116" s="232"/>
      <c r="BZ116" s="232">
        <v>1</v>
      </c>
      <c r="CA116" s="317"/>
      <c r="CB116" s="232"/>
      <c r="CC116" s="232"/>
    </row>
    <row r="117" spans="1:81" s="229" customFormat="1" ht="21.75" customHeight="1">
      <c r="A117" s="238"/>
      <c r="B117" s="301" t="s">
        <v>24</v>
      </c>
      <c r="C117" s="228">
        <f aca="true" t="shared" si="237" ref="C117:L117">SUM(C118:C132)</f>
        <v>27872.273</v>
      </c>
      <c r="D117" s="228">
        <f t="shared" si="237"/>
        <v>0</v>
      </c>
      <c r="E117" s="228">
        <f t="shared" si="237"/>
        <v>27872.273</v>
      </c>
      <c r="F117" s="228">
        <f t="shared" si="237"/>
        <v>0</v>
      </c>
      <c r="G117" s="228">
        <f t="shared" si="237"/>
        <v>0</v>
      </c>
      <c r="H117" s="228">
        <f t="shared" si="237"/>
        <v>34248.894219999995</v>
      </c>
      <c r="I117" s="228">
        <f t="shared" si="237"/>
        <v>0</v>
      </c>
      <c r="J117" s="228">
        <f t="shared" si="237"/>
        <v>27872.27257</v>
      </c>
      <c r="K117" s="228">
        <f t="shared" si="237"/>
        <v>6376.62165</v>
      </c>
      <c r="L117" s="228">
        <f t="shared" si="237"/>
        <v>0</v>
      </c>
      <c r="M117" s="223">
        <f t="shared" si="164"/>
        <v>27872.272999999997</v>
      </c>
      <c r="N117" s="223">
        <f aca="true" t="shared" si="238" ref="N117:S117">SUM(N118:N132)</f>
        <v>0</v>
      </c>
      <c r="O117" s="223">
        <f t="shared" si="238"/>
        <v>15615.776</v>
      </c>
      <c r="P117" s="223">
        <f t="shared" si="238"/>
        <v>8000</v>
      </c>
      <c r="Q117" s="223">
        <f t="shared" si="238"/>
        <v>4256.496999999999</v>
      </c>
      <c r="R117" s="225">
        <f t="shared" si="238"/>
        <v>27872.27257</v>
      </c>
      <c r="S117" s="223">
        <f t="shared" si="238"/>
        <v>0</v>
      </c>
      <c r="T117" s="223">
        <f>SUM(T119:T132)</f>
        <v>15615.776</v>
      </c>
      <c r="U117" s="223">
        <f>SUM(U119:U132)</f>
        <v>8000</v>
      </c>
      <c r="V117" s="226">
        <f>SUM(V119:V132)</f>
        <v>4256.496569999999</v>
      </c>
      <c r="W117" s="223">
        <f>SUM(W118:W132)</f>
        <v>0.00043000000005122274</v>
      </c>
      <c r="X117" s="223">
        <f>SUM(X118:X132)</f>
        <v>0</v>
      </c>
      <c r="Y117" s="223">
        <f>SUM(Y118:Y132)</f>
        <v>0</v>
      </c>
      <c r="Z117" s="223">
        <f>SUM(Z119:Z132)</f>
        <v>0</v>
      </c>
      <c r="AA117" s="223">
        <f>SUM(AA119:AA132)</f>
        <v>0.00043000000005122274</v>
      </c>
      <c r="AB117" s="223">
        <f aca="true" t="shared" si="239" ref="AB117:AP117">SUM(AB118:AB132)</f>
        <v>27872.27257</v>
      </c>
      <c r="AC117" s="223">
        <f t="shared" si="239"/>
        <v>0</v>
      </c>
      <c r="AD117" s="223">
        <f t="shared" si="239"/>
        <v>15615.776</v>
      </c>
      <c r="AE117" s="223">
        <f t="shared" si="239"/>
        <v>8000</v>
      </c>
      <c r="AF117" s="223">
        <f t="shared" si="239"/>
        <v>4256.496569999999</v>
      </c>
      <c r="AG117" s="223">
        <f t="shared" si="239"/>
        <v>0</v>
      </c>
      <c r="AH117" s="223">
        <f t="shared" si="239"/>
        <v>0</v>
      </c>
      <c r="AI117" s="223">
        <f t="shared" si="239"/>
        <v>0</v>
      </c>
      <c r="AJ117" s="223">
        <f t="shared" si="239"/>
        <v>0</v>
      </c>
      <c r="AK117" s="227">
        <f t="shared" si="239"/>
        <v>0</v>
      </c>
      <c r="AL117" s="225">
        <f t="shared" si="239"/>
        <v>27872.27257</v>
      </c>
      <c r="AM117" s="223">
        <f t="shared" si="239"/>
        <v>0</v>
      </c>
      <c r="AN117" s="223">
        <f t="shared" si="239"/>
        <v>15615.776</v>
      </c>
      <c r="AO117" s="223">
        <f t="shared" si="239"/>
        <v>8000</v>
      </c>
      <c r="AP117" s="226">
        <f t="shared" si="239"/>
        <v>4256.496569999999</v>
      </c>
      <c r="AQ117" s="223">
        <f aca="true" t="shared" si="240" ref="AQ117:BE117">SUM(AQ118:AQ132)</f>
        <v>26097.313569999995</v>
      </c>
      <c r="AR117" s="223">
        <f t="shared" si="240"/>
        <v>0</v>
      </c>
      <c r="AS117" s="223">
        <f t="shared" si="240"/>
        <v>13922.655060000001</v>
      </c>
      <c r="AT117" s="223">
        <f t="shared" si="240"/>
        <v>8000</v>
      </c>
      <c r="AU117" s="223">
        <f t="shared" si="240"/>
        <v>4174.65851</v>
      </c>
      <c r="AV117" s="223">
        <f t="shared" si="240"/>
        <v>26097.313569999995</v>
      </c>
      <c r="AW117" s="223">
        <f t="shared" si="240"/>
        <v>0</v>
      </c>
      <c r="AX117" s="223">
        <f t="shared" si="240"/>
        <v>13922.655060000001</v>
      </c>
      <c r="AY117" s="223">
        <f t="shared" si="240"/>
        <v>8000</v>
      </c>
      <c r="AZ117" s="223">
        <f t="shared" si="240"/>
        <v>4174.65851</v>
      </c>
      <c r="BA117" s="223">
        <f t="shared" si="240"/>
        <v>6701.033659999999</v>
      </c>
      <c r="BB117" s="223">
        <f t="shared" si="240"/>
        <v>0</v>
      </c>
      <c r="BC117" s="223">
        <f t="shared" si="240"/>
        <v>3101.5508</v>
      </c>
      <c r="BD117" s="223">
        <f t="shared" si="240"/>
        <v>2194.491</v>
      </c>
      <c r="BE117" s="223">
        <f t="shared" si="240"/>
        <v>1404.99186</v>
      </c>
      <c r="BF117" s="223">
        <f aca="true" t="shared" si="241" ref="BF117:BT117">SUM(BF118:BF132)</f>
        <v>6376.62165</v>
      </c>
      <c r="BG117" s="223">
        <f t="shared" si="241"/>
        <v>0</v>
      </c>
      <c r="BH117" s="223">
        <f t="shared" si="241"/>
        <v>2777.1387900000004</v>
      </c>
      <c r="BI117" s="223">
        <f t="shared" si="241"/>
        <v>2194.491</v>
      </c>
      <c r="BJ117" s="223">
        <f t="shared" si="241"/>
        <v>1404.99186</v>
      </c>
      <c r="BK117" s="223">
        <f t="shared" si="241"/>
        <v>32473.935220000003</v>
      </c>
      <c r="BL117" s="223">
        <f t="shared" si="241"/>
        <v>0</v>
      </c>
      <c r="BM117" s="223">
        <f t="shared" si="241"/>
        <v>16699.79385</v>
      </c>
      <c r="BN117" s="223">
        <f t="shared" si="241"/>
        <v>10194.491</v>
      </c>
      <c r="BO117" s="223">
        <f t="shared" si="241"/>
        <v>5579.650369999999</v>
      </c>
      <c r="BP117" s="314">
        <f t="shared" si="241"/>
        <v>1774.9589999999994</v>
      </c>
      <c r="BQ117" s="315">
        <f t="shared" si="241"/>
        <v>0</v>
      </c>
      <c r="BR117" s="315">
        <f t="shared" si="241"/>
        <v>1693.1209399999998</v>
      </c>
      <c r="BS117" s="315">
        <f t="shared" si="241"/>
        <v>0</v>
      </c>
      <c r="BT117" s="315">
        <f t="shared" si="241"/>
        <v>81.83805999999998</v>
      </c>
      <c r="BV117" s="305"/>
      <c r="BW117" s="349" t="s">
        <v>289</v>
      </c>
      <c r="BY117" s="223">
        <f>SUM(BY118:BY132)</f>
        <v>1775</v>
      </c>
      <c r="BZ117" s="223">
        <f>SUM(BZ118:BZ132)</f>
        <v>11</v>
      </c>
      <c r="CA117" s="315">
        <f>SUM(CA118:CA132)</f>
        <v>0</v>
      </c>
      <c r="CB117" s="223">
        <f>SUM(CB118:CB132)</f>
        <v>0</v>
      </c>
      <c r="CC117" s="223">
        <f>SUM(CC118:CC132)</f>
        <v>0</v>
      </c>
    </row>
    <row r="118" spans="1:81" s="256" customFormat="1" ht="15" customHeight="1" hidden="1">
      <c r="A118" s="246"/>
      <c r="B118" s="270" t="s">
        <v>7</v>
      </c>
      <c r="C118" s="232">
        <f aca="true" t="shared" si="242" ref="C118:C132">E118+D118+F118</f>
        <v>0</v>
      </c>
      <c r="D118" s="233"/>
      <c r="E118" s="232">
        <f aca="true" t="shared" si="243" ref="E118:E132">M118</f>
        <v>0</v>
      </c>
      <c r="F118" s="233"/>
      <c r="G118" s="232"/>
      <c r="H118" s="232">
        <f aca="true" t="shared" si="244" ref="H118:H132">I118+J118+K118</f>
        <v>0</v>
      </c>
      <c r="I118" s="233"/>
      <c r="J118" s="232">
        <f aca="true" t="shared" si="245" ref="J118:J132">AL118</f>
        <v>0</v>
      </c>
      <c r="K118" s="232">
        <f aca="true" t="shared" si="246" ref="K118:K132">BF118</f>
        <v>0</v>
      </c>
      <c r="L118" s="271"/>
      <c r="M118" s="252"/>
      <c r="N118" s="252"/>
      <c r="O118" s="252"/>
      <c r="P118" s="252"/>
      <c r="Q118" s="252"/>
      <c r="R118" s="250">
        <f aca="true" t="shared" si="247" ref="R118:R132">S118+T118+U118+V118</f>
        <v>0</v>
      </c>
      <c r="S118" s="252"/>
      <c r="T118" s="252"/>
      <c r="U118" s="252"/>
      <c r="V118" s="254"/>
      <c r="W118" s="252">
        <f aca="true" t="shared" si="248" ref="W118:W132">X118+Y118+Z118+AA118</f>
        <v>0</v>
      </c>
      <c r="X118" s="252">
        <f aca="true" t="shared" si="249" ref="X118:AA132">N118-S118</f>
        <v>0</v>
      </c>
      <c r="Y118" s="252">
        <f t="shared" si="249"/>
        <v>0</v>
      </c>
      <c r="Z118" s="252">
        <f t="shared" si="249"/>
        <v>0</v>
      </c>
      <c r="AA118" s="252">
        <f t="shared" si="249"/>
        <v>0</v>
      </c>
      <c r="AB118" s="252">
        <f aca="true" t="shared" si="250" ref="AB118:AB132">AC118+AD118+AE118+AF118</f>
        <v>0</v>
      </c>
      <c r="AC118" s="252"/>
      <c r="AD118" s="252">
        <f aca="true" t="shared" si="251" ref="AD118:AF132">T118</f>
        <v>0</v>
      </c>
      <c r="AE118" s="252">
        <f t="shared" si="251"/>
        <v>0</v>
      </c>
      <c r="AF118" s="252">
        <f t="shared" si="251"/>
        <v>0</v>
      </c>
      <c r="AG118" s="252">
        <f aca="true" t="shared" si="252" ref="AG118:AG132">AH118+AI118+AJ118+AK118</f>
        <v>0</v>
      </c>
      <c r="AH118" s="252"/>
      <c r="AI118" s="252"/>
      <c r="AJ118" s="252"/>
      <c r="AK118" s="253"/>
      <c r="AL118" s="250">
        <f aca="true" t="shared" si="253" ref="AL118:AL132">AM118+AN118+AO118+AP118</f>
        <v>0</v>
      </c>
      <c r="AM118" s="252"/>
      <c r="AN118" s="252"/>
      <c r="AO118" s="252"/>
      <c r="AP118" s="254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>
        <f aca="true" t="shared" si="254" ref="BK118:BK132">BL118+BM118+BN118+BO118</f>
        <v>0</v>
      </c>
      <c r="BL118" s="252">
        <f aca="true" t="shared" si="255" ref="BL118:BL132">AW118+BG118</f>
        <v>0</v>
      </c>
      <c r="BM118" s="252">
        <f aca="true" t="shared" si="256" ref="BM118:BM132">AX118+BH118</f>
        <v>0</v>
      </c>
      <c r="BN118" s="252">
        <f aca="true" t="shared" si="257" ref="BN118:BN132">AY118+BI118</f>
        <v>0</v>
      </c>
      <c r="BO118" s="252">
        <f aca="true" t="shared" si="258" ref="BO118:BO132">AZ118+BJ118</f>
        <v>0</v>
      </c>
      <c r="BP118" s="318">
        <f aca="true" t="shared" si="259" ref="BP118:BP132">BQ118+BR118+BS118+BT118</f>
        <v>0</v>
      </c>
      <c r="BQ118" s="319">
        <f aca="true" t="shared" si="260" ref="BQ118:BQ132">AM118-AW118</f>
        <v>0</v>
      </c>
      <c r="BR118" s="319">
        <f aca="true" t="shared" si="261" ref="BR118:BR132">AN118-AX118</f>
        <v>0</v>
      </c>
      <c r="BS118" s="319">
        <f aca="true" t="shared" si="262" ref="BS118:BS132">AO118-AY118</f>
        <v>0</v>
      </c>
      <c r="BT118" s="319">
        <f aca="true" t="shared" si="263" ref="BT118:BT132">AP118-AZ118</f>
        <v>0</v>
      </c>
      <c r="BV118" s="306"/>
      <c r="BW118" s="334"/>
      <c r="BY118" s="252"/>
      <c r="BZ118" s="252"/>
      <c r="CA118" s="319"/>
      <c r="CB118" s="252"/>
      <c r="CC118" s="252"/>
    </row>
    <row r="119" spans="1:81" s="229" customFormat="1" ht="16.5" customHeight="1">
      <c r="A119" s="261">
        <v>92</v>
      </c>
      <c r="B119" s="239" t="s">
        <v>140</v>
      </c>
      <c r="C119" s="232">
        <f t="shared" si="242"/>
        <v>2751.603</v>
      </c>
      <c r="D119" s="233"/>
      <c r="E119" s="232">
        <f t="shared" si="243"/>
        <v>2751.603</v>
      </c>
      <c r="F119" s="233"/>
      <c r="G119" s="232"/>
      <c r="H119" s="232">
        <f t="shared" si="244"/>
        <v>3188.7504400000003</v>
      </c>
      <c r="I119" s="233"/>
      <c r="J119" s="232">
        <f t="shared" si="245"/>
        <v>2751.603</v>
      </c>
      <c r="K119" s="232">
        <f t="shared" si="246"/>
        <v>437.14744</v>
      </c>
      <c r="L119" s="240"/>
      <c r="M119" s="232">
        <f t="shared" si="164"/>
        <v>2751.603</v>
      </c>
      <c r="N119" s="232"/>
      <c r="O119" s="232">
        <v>1788.612</v>
      </c>
      <c r="P119" s="232"/>
      <c r="Q119" s="232">
        <v>962.991</v>
      </c>
      <c r="R119" s="234">
        <f t="shared" si="247"/>
        <v>2751.603</v>
      </c>
      <c r="S119" s="232"/>
      <c r="T119" s="232">
        <v>1788.612</v>
      </c>
      <c r="U119" s="232"/>
      <c r="V119" s="235">
        <v>962.991</v>
      </c>
      <c r="W119" s="232">
        <f t="shared" si="248"/>
        <v>0</v>
      </c>
      <c r="X119" s="232">
        <f t="shared" si="249"/>
        <v>0</v>
      </c>
      <c r="Y119" s="232">
        <f t="shared" si="249"/>
        <v>0</v>
      </c>
      <c r="Z119" s="232">
        <f t="shared" si="249"/>
        <v>0</v>
      </c>
      <c r="AA119" s="232">
        <f t="shared" si="249"/>
        <v>0</v>
      </c>
      <c r="AB119" s="232">
        <f t="shared" si="250"/>
        <v>2751.603</v>
      </c>
      <c r="AC119" s="232"/>
      <c r="AD119" s="232">
        <f t="shared" si="251"/>
        <v>1788.612</v>
      </c>
      <c r="AE119" s="232">
        <f t="shared" si="251"/>
        <v>0</v>
      </c>
      <c r="AF119" s="232">
        <f t="shared" si="251"/>
        <v>962.991</v>
      </c>
      <c r="AG119" s="232">
        <f t="shared" si="252"/>
        <v>0</v>
      </c>
      <c r="AH119" s="232"/>
      <c r="AI119" s="232"/>
      <c r="AJ119" s="232"/>
      <c r="AK119" s="236"/>
      <c r="AL119" s="234">
        <f t="shared" si="253"/>
        <v>2751.603</v>
      </c>
      <c r="AM119" s="232"/>
      <c r="AN119" s="232">
        <f aca="true" t="shared" si="264" ref="AN119:AN132">AD119</f>
        <v>1788.612</v>
      </c>
      <c r="AO119" s="232"/>
      <c r="AP119" s="235">
        <f aca="true" t="shared" si="265" ref="AP119:AP132">AF119</f>
        <v>962.991</v>
      </c>
      <c r="AQ119" s="232">
        <f>AR119+AS119+AT119+AU119</f>
        <v>2743.174</v>
      </c>
      <c r="AR119" s="232"/>
      <c r="AS119" s="232">
        <f>1115.974+664.209</f>
        <v>1780.183</v>
      </c>
      <c r="AT119" s="232"/>
      <c r="AU119" s="232">
        <v>962.991</v>
      </c>
      <c r="AV119" s="232">
        <f aca="true" t="shared" si="266" ref="AV119:AV132">AW119+AX119+AY119+AZ119</f>
        <v>2743.174</v>
      </c>
      <c r="AW119" s="232"/>
      <c r="AX119" s="232">
        <f>1115.974+664.209</f>
        <v>1780.183</v>
      </c>
      <c r="AY119" s="232"/>
      <c r="AZ119" s="232">
        <v>962.991</v>
      </c>
      <c r="BA119" s="232">
        <f>BB119+BC119+BD119+BE119</f>
        <v>437.14744</v>
      </c>
      <c r="BB119" s="232"/>
      <c r="BC119" s="232">
        <v>140.78541</v>
      </c>
      <c r="BD119" s="232"/>
      <c r="BE119" s="232">
        <v>296.36203</v>
      </c>
      <c r="BF119" s="232">
        <f aca="true" t="shared" si="267" ref="BF119:BF132">BG119+BH119+BI119+BJ119</f>
        <v>437.14744</v>
      </c>
      <c r="BG119" s="232"/>
      <c r="BH119" s="232">
        <v>140.78541</v>
      </c>
      <c r="BI119" s="232"/>
      <c r="BJ119" s="232">
        <v>296.36203</v>
      </c>
      <c r="BK119" s="232">
        <f t="shared" si="254"/>
        <v>3180.3214399999997</v>
      </c>
      <c r="BL119" s="232">
        <f t="shared" si="255"/>
        <v>0</v>
      </c>
      <c r="BM119" s="232">
        <f t="shared" si="256"/>
        <v>1920.96841</v>
      </c>
      <c r="BN119" s="232">
        <f t="shared" si="257"/>
        <v>0</v>
      </c>
      <c r="BO119" s="232">
        <f t="shared" si="258"/>
        <v>1259.35303</v>
      </c>
      <c r="BP119" s="316">
        <f t="shared" si="259"/>
        <v>8.429000000000087</v>
      </c>
      <c r="BQ119" s="317">
        <f t="shared" si="260"/>
        <v>0</v>
      </c>
      <c r="BR119" s="317">
        <f t="shared" si="261"/>
        <v>8.429000000000087</v>
      </c>
      <c r="BS119" s="317">
        <f t="shared" si="262"/>
        <v>0</v>
      </c>
      <c r="BT119" s="317">
        <f t="shared" si="263"/>
        <v>0</v>
      </c>
      <c r="BU119" s="229">
        <v>1</v>
      </c>
      <c r="BV119" s="305"/>
      <c r="BW119" s="331" t="s">
        <v>248</v>
      </c>
      <c r="BY119" s="232">
        <v>8.4</v>
      </c>
      <c r="BZ119" s="232">
        <v>1</v>
      </c>
      <c r="CA119" s="317"/>
      <c r="CB119" s="232"/>
      <c r="CC119" s="232"/>
    </row>
    <row r="120" spans="1:81" s="229" customFormat="1" ht="15" customHeight="1">
      <c r="A120" s="230">
        <v>93</v>
      </c>
      <c r="B120" s="239" t="s">
        <v>141</v>
      </c>
      <c r="C120" s="232">
        <f t="shared" si="242"/>
        <v>755.127</v>
      </c>
      <c r="D120" s="233"/>
      <c r="E120" s="232">
        <f t="shared" si="243"/>
        <v>755.127</v>
      </c>
      <c r="F120" s="233"/>
      <c r="G120" s="232"/>
      <c r="H120" s="232">
        <f t="shared" si="244"/>
        <v>858.227</v>
      </c>
      <c r="I120" s="233"/>
      <c r="J120" s="232">
        <f t="shared" si="245"/>
        <v>755.127</v>
      </c>
      <c r="K120" s="232">
        <f t="shared" si="246"/>
        <v>103.10000000000001</v>
      </c>
      <c r="L120" s="240"/>
      <c r="M120" s="232">
        <f t="shared" si="164"/>
        <v>755.127</v>
      </c>
      <c r="N120" s="232"/>
      <c r="O120" s="232">
        <v>404.329</v>
      </c>
      <c r="P120" s="232"/>
      <c r="Q120" s="232">
        <v>350.798</v>
      </c>
      <c r="R120" s="234">
        <f t="shared" si="247"/>
        <v>755.127</v>
      </c>
      <c r="S120" s="232"/>
      <c r="T120" s="232">
        <v>404.329</v>
      </c>
      <c r="U120" s="232"/>
      <c r="V120" s="235">
        <v>350.798</v>
      </c>
      <c r="W120" s="232">
        <f t="shared" si="248"/>
        <v>0</v>
      </c>
      <c r="X120" s="232">
        <f t="shared" si="249"/>
        <v>0</v>
      </c>
      <c r="Y120" s="232">
        <f t="shared" si="249"/>
        <v>0</v>
      </c>
      <c r="Z120" s="232">
        <f t="shared" si="249"/>
        <v>0</v>
      </c>
      <c r="AA120" s="232">
        <f t="shared" si="249"/>
        <v>0</v>
      </c>
      <c r="AB120" s="232">
        <f t="shared" si="250"/>
        <v>755.127</v>
      </c>
      <c r="AC120" s="232"/>
      <c r="AD120" s="232">
        <f t="shared" si="251"/>
        <v>404.329</v>
      </c>
      <c r="AE120" s="232">
        <f t="shared" si="251"/>
        <v>0</v>
      </c>
      <c r="AF120" s="232">
        <f t="shared" si="251"/>
        <v>350.798</v>
      </c>
      <c r="AG120" s="232">
        <f t="shared" si="252"/>
        <v>0</v>
      </c>
      <c r="AH120" s="232"/>
      <c r="AI120" s="232"/>
      <c r="AJ120" s="232"/>
      <c r="AK120" s="236"/>
      <c r="AL120" s="234">
        <f t="shared" si="253"/>
        <v>755.127</v>
      </c>
      <c r="AM120" s="232"/>
      <c r="AN120" s="232">
        <f t="shared" si="264"/>
        <v>404.329</v>
      </c>
      <c r="AO120" s="232"/>
      <c r="AP120" s="235">
        <f t="shared" si="265"/>
        <v>350.798</v>
      </c>
      <c r="AQ120" s="232">
        <f>AR120+AS120+AT120+AU120</f>
        <v>755.127</v>
      </c>
      <c r="AR120" s="232"/>
      <c r="AS120" s="232">
        <v>404.329</v>
      </c>
      <c r="AT120" s="232"/>
      <c r="AU120" s="232">
        <f>143.6883+207.1097</f>
        <v>350.798</v>
      </c>
      <c r="AV120" s="232">
        <f t="shared" si="266"/>
        <v>755.127</v>
      </c>
      <c r="AW120" s="232"/>
      <c r="AX120" s="232">
        <v>404.329</v>
      </c>
      <c r="AY120" s="232"/>
      <c r="AZ120" s="232">
        <f>143.6883+207.1097</f>
        <v>350.798</v>
      </c>
      <c r="BA120" s="232">
        <f>BB120+BC120+BD120+BE120</f>
        <v>427.51201</v>
      </c>
      <c r="BB120" s="232"/>
      <c r="BC120" s="232">
        <v>394.33565</v>
      </c>
      <c r="BD120" s="232"/>
      <c r="BE120" s="232">
        <v>33.17636</v>
      </c>
      <c r="BF120" s="232">
        <f t="shared" si="267"/>
        <v>103.10000000000001</v>
      </c>
      <c r="BG120" s="232"/>
      <c r="BH120" s="232">
        <v>69.92364</v>
      </c>
      <c r="BI120" s="232"/>
      <c r="BJ120" s="232">
        <v>33.17636</v>
      </c>
      <c r="BK120" s="232">
        <f t="shared" si="254"/>
        <v>858.2270000000001</v>
      </c>
      <c r="BL120" s="232">
        <f t="shared" si="255"/>
        <v>0</v>
      </c>
      <c r="BM120" s="232">
        <f t="shared" si="256"/>
        <v>474.25264000000004</v>
      </c>
      <c r="BN120" s="232">
        <f t="shared" si="257"/>
        <v>0</v>
      </c>
      <c r="BO120" s="232">
        <f t="shared" si="258"/>
        <v>383.97436</v>
      </c>
      <c r="BP120" s="316">
        <f t="shared" si="259"/>
        <v>0</v>
      </c>
      <c r="BQ120" s="317">
        <f t="shared" si="260"/>
        <v>0</v>
      </c>
      <c r="BR120" s="317">
        <f t="shared" si="261"/>
        <v>0</v>
      </c>
      <c r="BS120" s="317">
        <f t="shared" si="262"/>
        <v>0</v>
      </c>
      <c r="BT120" s="317">
        <f t="shared" si="263"/>
        <v>0</v>
      </c>
      <c r="BU120" s="229">
        <v>1</v>
      </c>
      <c r="BV120" s="305"/>
      <c r="BW120" s="331" t="s">
        <v>228</v>
      </c>
      <c r="BY120" s="232"/>
      <c r="BZ120" s="232">
        <v>1</v>
      </c>
      <c r="CA120" s="317"/>
      <c r="CB120" s="232"/>
      <c r="CC120" s="232"/>
    </row>
    <row r="121" spans="1:81" s="229" customFormat="1" ht="15" customHeight="1" hidden="1">
      <c r="A121" s="230"/>
      <c r="B121" s="239" t="s">
        <v>142</v>
      </c>
      <c r="C121" s="232">
        <f t="shared" si="242"/>
        <v>0</v>
      </c>
      <c r="D121" s="233"/>
      <c r="E121" s="232">
        <f t="shared" si="243"/>
        <v>0</v>
      </c>
      <c r="F121" s="233"/>
      <c r="G121" s="232"/>
      <c r="H121" s="232">
        <f t="shared" si="244"/>
        <v>0</v>
      </c>
      <c r="I121" s="233"/>
      <c r="J121" s="232">
        <f t="shared" si="245"/>
        <v>0</v>
      </c>
      <c r="K121" s="232">
        <f t="shared" si="246"/>
        <v>0</v>
      </c>
      <c r="L121" s="240"/>
      <c r="M121" s="232"/>
      <c r="N121" s="232"/>
      <c r="O121" s="232"/>
      <c r="P121" s="232"/>
      <c r="Q121" s="232"/>
      <c r="R121" s="234">
        <f t="shared" si="247"/>
        <v>0</v>
      </c>
      <c r="S121" s="232"/>
      <c r="T121" s="232"/>
      <c r="U121" s="232"/>
      <c r="V121" s="235"/>
      <c r="W121" s="232">
        <f t="shared" si="248"/>
        <v>0</v>
      </c>
      <c r="X121" s="232">
        <f t="shared" si="249"/>
        <v>0</v>
      </c>
      <c r="Y121" s="232">
        <f t="shared" si="249"/>
        <v>0</v>
      </c>
      <c r="Z121" s="232">
        <f t="shared" si="249"/>
        <v>0</v>
      </c>
      <c r="AA121" s="232">
        <f t="shared" si="249"/>
        <v>0</v>
      </c>
      <c r="AB121" s="232">
        <f t="shared" si="250"/>
        <v>0</v>
      </c>
      <c r="AC121" s="232"/>
      <c r="AD121" s="232">
        <f t="shared" si="251"/>
        <v>0</v>
      </c>
      <c r="AE121" s="232">
        <f t="shared" si="251"/>
        <v>0</v>
      </c>
      <c r="AF121" s="232">
        <f t="shared" si="251"/>
        <v>0</v>
      </c>
      <c r="AG121" s="232">
        <f t="shared" si="252"/>
        <v>0</v>
      </c>
      <c r="AH121" s="232"/>
      <c r="AI121" s="232"/>
      <c r="AJ121" s="232"/>
      <c r="AK121" s="236"/>
      <c r="AL121" s="234">
        <f t="shared" si="253"/>
        <v>0</v>
      </c>
      <c r="AM121" s="232"/>
      <c r="AN121" s="232"/>
      <c r="AO121" s="232"/>
      <c r="AP121" s="235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>
        <f t="shared" si="254"/>
        <v>0</v>
      </c>
      <c r="BL121" s="232">
        <f t="shared" si="255"/>
        <v>0</v>
      </c>
      <c r="BM121" s="232">
        <f t="shared" si="256"/>
        <v>0</v>
      </c>
      <c r="BN121" s="232">
        <f t="shared" si="257"/>
        <v>0</v>
      </c>
      <c r="BO121" s="232">
        <f t="shared" si="258"/>
        <v>0</v>
      </c>
      <c r="BP121" s="316">
        <f t="shared" si="259"/>
        <v>0</v>
      </c>
      <c r="BQ121" s="317">
        <f t="shared" si="260"/>
        <v>0</v>
      </c>
      <c r="BR121" s="317">
        <f t="shared" si="261"/>
        <v>0</v>
      </c>
      <c r="BS121" s="317">
        <f t="shared" si="262"/>
        <v>0</v>
      </c>
      <c r="BT121" s="317">
        <f t="shared" si="263"/>
        <v>0</v>
      </c>
      <c r="BV121" s="305"/>
      <c r="BW121" s="332"/>
      <c r="BY121" s="232"/>
      <c r="BZ121" s="232"/>
      <c r="CA121" s="317"/>
      <c r="CB121" s="232"/>
      <c r="CC121" s="232"/>
    </row>
    <row r="122" spans="1:81" s="229" customFormat="1" ht="22.5" customHeight="1">
      <c r="A122" s="230">
        <v>94</v>
      </c>
      <c r="B122" s="239" t="s">
        <v>143</v>
      </c>
      <c r="C122" s="232">
        <f t="shared" si="242"/>
        <v>1294.479</v>
      </c>
      <c r="D122" s="233"/>
      <c r="E122" s="232">
        <f t="shared" si="243"/>
        <v>1294.479</v>
      </c>
      <c r="F122" s="233"/>
      <c r="G122" s="232"/>
      <c r="H122" s="232">
        <f t="shared" si="244"/>
        <v>1488.12373</v>
      </c>
      <c r="I122" s="233"/>
      <c r="J122" s="232">
        <f t="shared" si="245"/>
        <v>1294.47857</v>
      </c>
      <c r="K122" s="232">
        <f t="shared" si="246"/>
        <v>193.64516</v>
      </c>
      <c r="L122" s="240"/>
      <c r="M122" s="232">
        <f t="shared" si="164"/>
        <v>1294.479</v>
      </c>
      <c r="N122" s="232"/>
      <c r="O122" s="232">
        <v>736.773</v>
      </c>
      <c r="P122" s="232"/>
      <c r="Q122" s="232">
        <f>639.227-81.521</f>
        <v>557.706</v>
      </c>
      <c r="R122" s="234">
        <f t="shared" si="247"/>
        <v>1294.47857</v>
      </c>
      <c r="S122" s="232"/>
      <c r="T122" s="232">
        <v>736.773</v>
      </c>
      <c r="U122" s="232"/>
      <c r="V122" s="235">
        <v>557.70557</v>
      </c>
      <c r="W122" s="232">
        <f t="shared" si="248"/>
        <v>0.00043000000005122274</v>
      </c>
      <c r="X122" s="232">
        <f t="shared" si="249"/>
        <v>0</v>
      </c>
      <c r="Y122" s="232">
        <f t="shared" si="249"/>
        <v>0</v>
      </c>
      <c r="Z122" s="232">
        <f t="shared" si="249"/>
        <v>0</v>
      </c>
      <c r="AA122" s="232">
        <f t="shared" si="249"/>
        <v>0.00043000000005122274</v>
      </c>
      <c r="AB122" s="232">
        <f t="shared" si="250"/>
        <v>1294.47857</v>
      </c>
      <c r="AC122" s="232"/>
      <c r="AD122" s="232">
        <f t="shared" si="251"/>
        <v>736.773</v>
      </c>
      <c r="AE122" s="232">
        <f t="shared" si="251"/>
        <v>0</v>
      </c>
      <c r="AF122" s="232">
        <f t="shared" si="251"/>
        <v>557.70557</v>
      </c>
      <c r="AG122" s="232">
        <f t="shared" si="252"/>
        <v>0</v>
      </c>
      <c r="AH122" s="232"/>
      <c r="AI122" s="232"/>
      <c r="AJ122" s="232"/>
      <c r="AK122" s="236"/>
      <c r="AL122" s="234">
        <f t="shared" si="253"/>
        <v>1294.47857</v>
      </c>
      <c r="AM122" s="232"/>
      <c r="AN122" s="232">
        <f t="shared" si="264"/>
        <v>736.773</v>
      </c>
      <c r="AO122" s="232"/>
      <c r="AP122" s="235">
        <f t="shared" si="265"/>
        <v>557.70557</v>
      </c>
      <c r="AQ122" s="232">
        <f>AR122+AS122+AT122+AU122</f>
        <v>1143.81421</v>
      </c>
      <c r="AR122" s="232"/>
      <c r="AS122" s="232">
        <f>651.02</f>
        <v>651.02</v>
      </c>
      <c r="AT122" s="232"/>
      <c r="AU122" s="232">
        <f>492.79421</f>
        <v>492.79421</v>
      </c>
      <c r="AV122" s="232">
        <f t="shared" si="266"/>
        <v>1143.81421</v>
      </c>
      <c r="AW122" s="232"/>
      <c r="AX122" s="232">
        <f>651.02</f>
        <v>651.02</v>
      </c>
      <c r="AY122" s="232"/>
      <c r="AZ122" s="232">
        <f>492.79421</f>
        <v>492.79421</v>
      </c>
      <c r="BA122" s="232">
        <f>BB122+BC122+BD122+BE122</f>
        <v>193.64516</v>
      </c>
      <c r="BB122" s="232"/>
      <c r="BC122" s="232">
        <v>167.16201</v>
      </c>
      <c r="BD122" s="232"/>
      <c r="BE122" s="232">
        <v>26.48315</v>
      </c>
      <c r="BF122" s="232">
        <f t="shared" si="267"/>
        <v>193.64516</v>
      </c>
      <c r="BG122" s="232"/>
      <c r="BH122" s="232">
        <v>167.16201</v>
      </c>
      <c r="BI122" s="232"/>
      <c r="BJ122" s="232">
        <v>26.48315</v>
      </c>
      <c r="BK122" s="232">
        <f t="shared" si="254"/>
        <v>1337.45937</v>
      </c>
      <c r="BL122" s="232">
        <f t="shared" si="255"/>
        <v>0</v>
      </c>
      <c r="BM122" s="232">
        <f t="shared" si="256"/>
        <v>818.18201</v>
      </c>
      <c r="BN122" s="232">
        <f t="shared" si="257"/>
        <v>0</v>
      </c>
      <c r="BO122" s="232">
        <f t="shared" si="258"/>
        <v>519.27736</v>
      </c>
      <c r="BP122" s="316">
        <f t="shared" si="259"/>
        <v>150.66436</v>
      </c>
      <c r="BQ122" s="317">
        <f t="shared" si="260"/>
        <v>0</v>
      </c>
      <c r="BR122" s="317">
        <f t="shared" si="261"/>
        <v>85.75300000000004</v>
      </c>
      <c r="BS122" s="317">
        <f t="shared" si="262"/>
        <v>0</v>
      </c>
      <c r="BT122" s="317">
        <f t="shared" si="263"/>
        <v>64.91135999999995</v>
      </c>
      <c r="BU122" s="229">
        <v>1</v>
      </c>
      <c r="BV122" s="305"/>
      <c r="BW122" s="331" t="s">
        <v>249</v>
      </c>
      <c r="BY122" s="232">
        <v>150.7</v>
      </c>
      <c r="BZ122" s="232">
        <v>1</v>
      </c>
      <c r="CA122" s="317"/>
      <c r="CB122" s="232"/>
      <c r="CC122" s="232"/>
    </row>
    <row r="123" spans="1:81" s="229" customFormat="1" ht="21.75" customHeight="1">
      <c r="A123" s="230">
        <v>95</v>
      </c>
      <c r="B123" s="239" t="s">
        <v>144</v>
      </c>
      <c r="C123" s="232">
        <f t="shared" si="242"/>
        <v>834.47</v>
      </c>
      <c r="D123" s="233"/>
      <c r="E123" s="232">
        <f t="shared" si="243"/>
        <v>834.47</v>
      </c>
      <c r="F123" s="233"/>
      <c r="G123" s="232"/>
      <c r="H123" s="232">
        <f t="shared" si="244"/>
        <v>1226.59206</v>
      </c>
      <c r="I123" s="233"/>
      <c r="J123" s="232">
        <f t="shared" si="245"/>
        <v>834.47</v>
      </c>
      <c r="K123" s="232">
        <f t="shared" si="246"/>
        <v>392.12206</v>
      </c>
      <c r="L123" s="240"/>
      <c r="M123" s="232">
        <f t="shared" si="164"/>
        <v>834.47</v>
      </c>
      <c r="N123" s="232"/>
      <c r="O123" s="232">
        <v>834.47</v>
      </c>
      <c r="P123" s="232"/>
      <c r="Q123" s="232"/>
      <c r="R123" s="234">
        <f t="shared" si="247"/>
        <v>834.47</v>
      </c>
      <c r="S123" s="232"/>
      <c r="T123" s="232">
        <f>446.813+387.657</f>
        <v>834.47</v>
      </c>
      <c r="U123" s="232"/>
      <c r="V123" s="235"/>
      <c r="W123" s="232">
        <f t="shared" si="248"/>
        <v>0</v>
      </c>
      <c r="X123" s="232">
        <f t="shared" si="249"/>
        <v>0</v>
      </c>
      <c r="Y123" s="232">
        <f t="shared" si="249"/>
        <v>0</v>
      </c>
      <c r="Z123" s="232">
        <f t="shared" si="249"/>
        <v>0</v>
      </c>
      <c r="AA123" s="232">
        <f t="shared" si="249"/>
        <v>0</v>
      </c>
      <c r="AB123" s="232">
        <f t="shared" si="250"/>
        <v>834.47</v>
      </c>
      <c r="AC123" s="232"/>
      <c r="AD123" s="232">
        <f t="shared" si="251"/>
        <v>834.47</v>
      </c>
      <c r="AE123" s="232">
        <f t="shared" si="251"/>
        <v>0</v>
      </c>
      <c r="AF123" s="232">
        <f t="shared" si="251"/>
        <v>0</v>
      </c>
      <c r="AG123" s="232">
        <f t="shared" si="252"/>
        <v>0</v>
      </c>
      <c r="AH123" s="232"/>
      <c r="AI123" s="232"/>
      <c r="AJ123" s="232"/>
      <c r="AK123" s="236"/>
      <c r="AL123" s="234">
        <f t="shared" si="253"/>
        <v>834.47</v>
      </c>
      <c r="AM123" s="232"/>
      <c r="AN123" s="232">
        <f t="shared" si="264"/>
        <v>834.47</v>
      </c>
      <c r="AO123" s="232"/>
      <c r="AP123" s="235">
        <f t="shared" si="265"/>
        <v>0</v>
      </c>
      <c r="AQ123" s="232">
        <f>AR123+AS123+AT123+AU123</f>
        <v>723.3469600000001</v>
      </c>
      <c r="AR123" s="232"/>
      <c r="AS123" s="232">
        <f>387.1388+336.20816</f>
        <v>723.3469600000001</v>
      </c>
      <c r="AT123" s="232"/>
      <c r="AU123" s="232"/>
      <c r="AV123" s="232">
        <f t="shared" si="266"/>
        <v>723.3469600000001</v>
      </c>
      <c r="AW123" s="232"/>
      <c r="AX123" s="232">
        <f>387.1388+336.20816</f>
        <v>723.3469600000001</v>
      </c>
      <c r="AY123" s="232"/>
      <c r="AZ123" s="232"/>
      <c r="BA123" s="232">
        <f>BB123+BC123+BD123+BE123</f>
        <v>392.12206</v>
      </c>
      <c r="BB123" s="232"/>
      <c r="BC123" s="232">
        <v>392.12206</v>
      </c>
      <c r="BD123" s="232"/>
      <c r="BE123" s="232"/>
      <c r="BF123" s="232">
        <f t="shared" si="267"/>
        <v>392.12206</v>
      </c>
      <c r="BG123" s="232"/>
      <c r="BH123" s="232">
        <v>392.12206</v>
      </c>
      <c r="BI123" s="232"/>
      <c r="BJ123" s="232"/>
      <c r="BK123" s="232">
        <f t="shared" si="254"/>
        <v>1115.46902</v>
      </c>
      <c r="BL123" s="232">
        <f t="shared" si="255"/>
        <v>0</v>
      </c>
      <c r="BM123" s="232">
        <f t="shared" si="256"/>
        <v>1115.46902</v>
      </c>
      <c r="BN123" s="232">
        <f t="shared" si="257"/>
        <v>0</v>
      </c>
      <c r="BO123" s="232">
        <f t="shared" si="258"/>
        <v>0</v>
      </c>
      <c r="BP123" s="316">
        <f t="shared" si="259"/>
        <v>111.12303999999995</v>
      </c>
      <c r="BQ123" s="317">
        <f t="shared" si="260"/>
        <v>0</v>
      </c>
      <c r="BR123" s="317">
        <f t="shared" si="261"/>
        <v>111.12303999999995</v>
      </c>
      <c r="BS123" s="317">
        <f t="shared" si="262"/>
        <v>0</v>
      </c>
      <c r="BT123" s="317">
        <f t="shared" si="263"/>
        <v>0</v>
      </c>
      <c r="BU123" s="229">
        <v>1</v>
      </c>
      <c r="BV123" s="305"/>
      <c r="BW123" s="331" t="s">
        <v>250</v>
      </c>
      <c r="BY123" s="232">
        <v>111.1</v>
      </c>
      <c r="BZ123" s="232">
        <v>1</v>
      </c>
      <c r="CA123" s="317"/>
      <c r="CB123" s="232"/>
      <c r="CC123" s="232"/>
    </row>
    <row r="124" spans="1:81" s="229" customFormat="1" ht="15" customHeight="1">
      <c r="A124" s="230">
        <v>96</v>
      </c>
      <c r="B124" s="239" t="s">
        <v>145</v>
      </c>
      <c r="C124" s="232">
        <f t="shared" si="242"/>
        <v>1189.268</v>
      </c>
      <c r="D124" s="233"/>
      <c r="E124" s="232">
        <f t="shared" si="243"/>
        <v>1189.268</v>
      </c>
      <c r="F124" s="233"/>
      <c r="G124" s="232"/>
      <c r="H124" s="232">
        <f t="shared" si="244"/>
        <v>1636.237</v>
      </c>
      <c r="I124" s="233"/>
      <c r="J124" s="232">
        <f t="shared" si="245"/>
        <v>1189.268</v>
      </c>
      <c r="K124" s="232">
        <f t="shared" si="246"/>
        <v>446.96900000000005</v>
      </c>
      <c r="L124" s="240"/>
      <c r="M124" s="232">
        <f t="shared" si="164"/>
        <v>1189.268</v>
      </c>
      <c r="N124" s="232"/>
      <c r="O124" s="232">
        <v>636.788</v>
      </c>
      <c r="P124" s="232"/>
      <c r="Q124" s="232">
        <v>552.48</v>
      </c>
      <c r="R124" s="234">
        <f t="shared" si="247"/>
        <v>1189.268</v>
      </c>
      <c r="S124" s="232"/>
      <c r="T124" s="232">
        <v>636.788</v>
      </c>
      <c r="U124" s="232"/>
      <c r="V124" s="235">
        <v>552.48</v>
      </c>
      <c r="W124" s="232">
        <f t="shared" si="248"/>
        <v>0</v>
      </c>
      <c r="X124" s="232">
        <f t="shared" si="249"/>
        <v>0</v>
      </c>
      <c r="Y124" s="232">
        <f t="shared" si="249"/>
        <v>0</v>
      </c>
      <c r="Z124" s="232">
        <f t="shared" si="249"/>
        <v>0</v>
      </c>
      <c r="AA124" s="232">
        <f t="shared" si="249"/>
        <v>0</v>
      </c>
      <c r="AB124" s="232">
        <f t="shared" si="250"/>
        <v>1189.268</v>
      </c>
      <c r="AC124" s="232"/>
      <c r="AD124" s="232">
        <f t="shared" si="251"/>
        <v>636.788</v>
      </c>
      <c r="AE124" s="232">
        <f t="shared" si="251"/>
        <v>0</v>
      </c>
      <c r="AF124" s="232">
        <f t="shared" si="251"/>
        <v>552.48</v>
      </c>
      <c r="AG124" s="232">
        <f t="shared" si="252"/>
        <v>0</v>
      </c>
      <c r="AH124" s="232"/>
      <c r="AI124" s="232"/>
      <c r="AJ124" s="232"/>
      <c r="AK124" s="236"/>
      <c r="AL124" s="234">
        <f t="shared" si="253"/>
        <v>1189.268</v>
      </c>
      <c r="AM124" s="232"/>
      <c r="AN124" s="232">
        <f t="shared" si="264"/>
        <v>636.788</v>
      </c>
      <c r="AO124" s="232"/>
      <c r="AP124" s="235">
        <f t="shared" si="265"/>
        <v>552.48</v>
      </c>
      <c r="AQ124" s="232">
        <f>AR124+AS124+AT124+AU124</f>
        <v>1189.268</v>
      </c>
      <c r="AR124" s="232"/>
      <c r="AS124" s="232">
        <f>636.788</f>
        <v>636.788</v>
      </c>
      <c r="AT124" s="232"/>
      <c r="AU124" s="232">
        <v>552.48</v>
      </c>
      <c r="AV124" s="232">
        <f t="shared" si="266"/>
        <v>1189.268</v>
      </c>
      <c r="AW124" s="232"/>
      <c r="AX124" s="232">
        <f>636.788</f>
        <v>636.788</v>
      </c>
      <c r="AY124" s="232"/>
      <c r="AZ124" s="232">
        <v>552.48</v>
      </c>
      <c r="BA124" s="232">
        <f>BB124+BC124+BD124+BE124</f>
        <v>446.96900000000005</v>
      </c>
      <c r="BB124" s="232"/>
      <c r="BC124" s="232">
        <v>304.175</v>
      </c>
      <c r="BD124" s="232"/>
      <c r="BE124" s="232">
        <v>142.794</v>
      </c>
      <c r="BF124" s="232">
        <f t="shared" si="267"/>
        <v>446.96900000000005</v>
      </c>
      <c r="BG124" s="232"/>
      <c r="BH124" s="232">
        <v>304.175</v>
      </c>
      <c r="BI124" s="232"/>
      <c r="BJ124" s="232">
        <v>142.794</v>
      </c>
      <c r="BK124" s="232">
        <f t="shared" si="254"/>
        <v>1636.237</v>
      </c>
      <c r="BL124" s="232">
        <f t="shared" si="255"/>
        <v>0</v>
      </c>
      <c r="BM124" s="232">
        <f t="shared" si="256"/>
        <v>940.963</v>
      </c>
      <c r="BN124" s="232">
        <f t="shared" si="257"/>
        <v>0</v>
      </c>
      <c r="BO124" s="232">
        <f t="shared" si="258"/>
        <v>695.274</v>
      </c>
      <c r="BP124" s="316">
        <f t="shared" si="259"/>
        <v>0</v>
      </c>
      <c r="BQ124" s="317">
        <f t="shared" si="260"/>
        <v>0</v>
      </c>
      <c r="BR124" s="317">
        <f t="shared" si="261"/>
        <v>0</v>
      </c>
      <c r="BS124" s="317">
        <f t="shared" si="262"/>
        <v>0</v>
      </c>
      <c r="BT124" s="317">
        <f t="shared" si="263"/>
        <v>0</v>
      </c>
      <c r="BU124" s="229">
        <v>1</v>
      </c>
      <c r="BV124" s="305"/>
      <c r="BW124" s="331" t="s">
        <v>228</v>
      </c>
      <c r="BY124" s="232"/>
      <c r="BZ124" s="232">
        <v>1</v>
      </c>
      <c r="CA124" s="317"/>
      <c r="CB124" s="232"/>
      <c r="CC124" s="232"/>
    </row>
    <row r="125" spans="1:81" s="229" customFormat="1" ht="15" customHeight="1" hidden="1">
      <c r="A125" s="230"/>
      <c r="B125" s="239" t="s">
        <v>146</v>
      </c>
      <c r="C125" s="232">
        <f t="shared" si="242"/>
        <v>0</v>
      </c>
      <c r="D125" s="233"/>
      <c r="E125" s="232">
        <f t="shared" si="243"/>
        <v>0</v>
      </c>
      <c r="F125" s="233"/>
      <c r="G125" s="232"/>
      <c r="H125" s="232">
        <f t="shared" si="244"/>
        <v>0</v>
      </c>
      <c r="I125" s="233"/>
      <c r="J125" s="232">
        <f t="shared" si="245"/>
        <v>0</v>
      </c>
      <c r="K125" s="232">
        <f t="shared" si="246"/>
        <v>0</v>
      </c>
      <c r="L125" s="240"/>
      <c r="M125" s="232"/>
      <c r="N125" s="232"/>
      <c r="O125" s="232"/>
      <c r="P125" s="232"/>
      <c r="Q125" s="232"/>
      <c r="R125" s="234">
        <f t="shared" si="247"/>
        <v>0</v>
      </c>
      <c r="S125" s="232"/>
      <c r="T125" s="232"/>
      <c r="U125" s="232"/>
      <c r="V125" s="235"/>
      <c r="W125" s="232">
        <f t="shared" si="248"/>
        <v>0</v>
      </c>
      <c r="X125" s="232">
        <f t="shared" si="249"/>
        <v>0</v>
      </c>
      <c r="Y125" s="232">
        <f t="shared" si="249"/>
        <v>0</v>
      </c>
      <c r="Z125" s="232">
        <f t="shared" si="249"/>
        <v>0</v>
      </c>
      <c r="AA125" s="232">
        <f t="shared" si="249"/>
        <v>0</v>
      </c>
      <c r="AB125" s="232">
        <f t="shared" si="250"/>
        <v>0</v>
      </c>
      <c r="AC125" s="232"/>
      <c r="AD125" s="232">
        <f t="shared" si="251"/>
        <v>0</v>
      </c>
      <c r="AE125" s="232">
        <f t="shared" si="251"/>
        <v>0</v>
      </c>
      <c r="AF125" s="232">
        <f t="shared" si="251"/>
        <v>0</v>
      </c>
      <c r="AG125" s="232">
        <f t="shared" si="252"/>
        <v>0</v>
      </c>
      <c r="AH125" s="232"/>
      <c r="AI125" s="232"/>
      <c r="AJ125" s="232"/>
      <c r="AK125" s="236"/>
      <c r="AL125" s="234">
        <f t="shared" si="253"/>
        <v>0</v>
      </c>
      <c r="AM125" s="232"/>
      <c r="AN125" s="232"/>
      <c r="AO125" s="232"/>
      <c r="AP125" s="235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>
        <f t="shared" si="254"/>
        <v>0</v>
      </c>
      <c r="BL125" s="232">
        <f t="shared" si="255"/>
        <v>0</v>
      </c>
      <c r="BM125" s="232">
        <f t="shared" si="256"/>
        <v>0</v>
      </c>
      <c r="BN125" s="232">
        <f t="shared" si="257"/>
        <v>0</v>
      </c>
      <c r="BO125" s="232">
        <f t="shared" si="258"/>
        <v>0</v>
      </c>
      <c r="BP125" s="316">
        <f t="shared" si="259"/>
        <v>0</v>
      </c>
      <c r="BQ125" s="317">
        <f t="shared" si="260"/>
        <v>0</v>
      </c>
      <c r="BR125" s="317">
        <f t="shared" si="261"/>
        <v>0</v>
      </c>
      <c r="BS125" s="317">
        <f t="shared" si="262"/>
        <v>0</v>
      </c>
      <c r="BT125" s="317">
        <f t="shared" si="263"/>
        <v>0</v>
      </c>
      <c r="BV125" s="305"/>
      <c r="BW125" s="332"/>
      <c r="BY125" s="232"/>
      <c r="BZ125" s="232"/>
      <c r="CA125" s="317"/>
      <c r="CB125" s="232"/>
      <c r="CC125" s="232"/>
    </row>
    <row r="126" spans="1:81" s="229" customFormat="1" ht="15" customHeight="1">
      <c r="A126" s="230">
        <v>97</v>
      </c>
      <c r="B126" s="239" t="s">
        <v>147</v>
      </c>
      <c r="C126" s="232">
        <f t="shared" si="242"/>
        <v>11347.586</v>
      </c>
      <c r="D126" s="233"/>
      <c r="E126" s="232">
        <f t="shared" si="243"/>
        <v>11347.586</v>
      </c>
      <c r="F126" s="233"/>
      <c r="G126" s="232"/>
      <c r="H126" s="232">
        <f t="shared" si="244"/>
        <v>14279.147299999999</v>
      </c>
      <c r="I126" s="233"/>
      <c r="J126" s="232">
        <f t="shared" si="245"/>
        <v>11347.586</v>
      </c>
      <c r="K126" s="232">
        <f t="shared" si="246"/>
        <v>2931.5613</v>
      </c>
      <c r="L126" s="240"/>
      <c r="M126" s="232">
        <f t="shared" si="164"/>
        <v>11347.586</v>
      </c>
      <c r="N126" s="232"/>
      <c r="O126" s="232">
        <v>3347.586</v>
      </c>
      <c r="P126" s="232">
        <v>8000</v>
      </c>
      <c r="Q126" s="232"/>
      <c r="R126" s="234">
        <f t="shared" si="247"/>
        <v>11347.586</v>
      </c>
      <c r="S126" s="232"/>
      <c r="T126" s="232">
        <v>3347.586</v>
      </c>
      <c r="U126" s="232">
        <v>8000</v>
      </c>
      <c r="V126" s="235"/>
      <c r="W126" s="232">
        <f t="shared" si="248"/>
        <v>0</v>
      </c>
      <c r="X126" s="232">
        <f t="shared" si="249"/>
        <v>0</v>
      </c>
      <c r="Y126" s="232">
        <f t="shared" si="249"/>
        <v>0</v>
      </c>
      <c r="Z126" s="232">
        <f t="shared" si="249"/>
        <v>0</v>
      </c>
      <c r="AA126" s="232">
        <f t="shared" si="249"/>
        <v>0</v>
      </c>
      <c r="AB126" s="232">
        <f t="shared" si="250"/>
        <v>11347.586</v>
      </c>
      <c r="AC126" s="232"/>
      <c r="AD126" s="232">
        <f t="shared" si="251"/>
        <v>3347.586</v>
      </c>
      <c r="AE126" s="232">
        <f t="shared" si="251"/>
        <v>8000</v>
      </c>
      <c r="AF126" s="232">
        <f t="shared" si="251"/>
        <v>0</v>
      </c>
      <c r="AG126" s="232">
        <f t="shared" si="252"/>
        <v>0</v>
      </c>
      <c r="AH126" s="232"/>
      <c r="AI126" s="232"/>
      <c r="AJ126" s="232"/>
      <c r="AK126" s="236"/>
      <c r="AL126" s="234">
        <f t="shared" si="253"/>
        <v>11347.586</v>
      </c>
      <c r="AM126" s="232"/>
      <c r="AN126" s="232">
        <f t="shared" si="264"/>
        <v>3347.586</v>
      </c>
      <c r="AO126" s="232">
        <f>AE126</f>
        <v>8000</v>
      </c>
      <c r="AP126" s="235">
        <f t="shared" si="265"/>
        <v>0</v>
      </c>
      <c r="AQ126" s="232">
        <f>AR126+AS126+AT126+AU126</f>
        <v>11347.586</v>
      </c>
      <c r="AR126" s="232"/>
      <c r="AS126" s="232">
        <v>3347.586</v>
      </c>
      <c r="AT126" s="232">
        <v>8000</v>
      </c>
      <c r="AU126" s="232"/>
      <c r="AV126" s="232">
        <f t="shared" si="266"/>
        <v>11347.586</v>
      </c>
      <c r="AW126" s="232"/>
      <c r="AX126" s="232">
        <v>3347.586</v>
      </c>
      <c r="AY126" s="232">
        <v>8000</v>
      </c>
      <c r="AZ126" s="232"/>
      <c r="BA126" s="232">
        <f>BB126+BC126+BD126+BE126</f>
        <v>2931.5613</v>
      </c>
      <c r="BB126" s="232"/>
      <c r="BC126" s="232">
        <v>737.0703</v>
      </c>
      <c r="BD126" s="232">
        <v>2194.491</v>
      </c>
      <c r="BE126" s="232"/>
      <c r="BF126" s="232">
        <f t="shared" si="267"/>
        <v>2931.5613</v>
      </c>
      <c r="BG126" s="232"/>
      <c r="BH126" s="232">
        <v>737.0703</v>
      </c>
      <c r="BI126" s="232">
        <v>2194.491</v>
      </c>
      <c r="BJ126" s="232"/>
      <c r="BK126" s="232">
        <f t="shared" si="254"/>
        <v>14279.1473</v>
      </c>
      <c r="BL126" s="232">
        <f t="shared" si="255"/>
        <v>0</v>
      </c>
      <c r="BM126" s="232">
        <f t="shared" si="256"/>
        <v>4084.6562999999996</v>
      </c>
      <c r="BN126" s="232">
        <f t="shared" si="257"/>
        <v>10194.491</v>
      </c>
      <c r="BO126" s="232">
        <f t="shared" si="258"/>
        <v>0</v>
      </c>
      <c r="BP126" s="316">
        <f t="shared" si="259"/>
        <v>0</v>
      </c>
      <c r="BQ126" s="317">
        <f t="shared" si="260"/>
        <v>0</v>
      </c>
      <c r="BR126" s="317">
        <f t="shared" si="261"/>
        <v>0</v>
      </c>
      <c r="BS126" s="317">
        <f t="shared" si="262"/>
        <v>0</v>
      </c>
      <c r="BT126" s="317">
        <f t="shared" si="263"/>
        <v>0</v>
      </c>
      <c r="BU126" s="229">
        <v>1</v>
      </c>
      <c r="BV126" s="305"/>
      <c r="BW126" s="331" t="s">
        <v>228</v>
      </c>
      <c r="BY126" s="232"/>
      <c r="BZ126" s="232">
        <v>1</v>
      </c>
      <c r="CA126" s="317"/>
      <c r="CB126" s="232"/>
      <c r="CC126" s="232"/>
    </row>
    <row r="127" spans="1:81" s="229" customFormat="1" ht="15" customHeight="1">
      <c r="A127" s="230">
        <v>98</v>
      </c>
      <c r="B127" s="239" t="s">
        <v>148</v>
      </c>
      <c r="C127" s="232">
        <f t="shared" si="242"/>
        <v>3158.545</v>
      </c>
      <c r="D127" s="233"/>
      <c r="E127" s="232">
        <f t="shared" si="243"/>
        <v>3158.545</v>
      </c>
      <c r="F127" s="233"/>
      <c r="G127" s="232"/>
      <c r="H127" s="232">
        <f t="shared" si="244"/>
        <v>3429.571</v>
      </c>
      <c r="I127" s="233"/>
      <c r="J127" s="232">
        <f t="shared" si="245"/>
        <v>3158.545</v>
      </c>
      <c r="K127" s="232">
        <f t="shared" si="246"/>
        <v>271.026</v>
      </c>
      <c r="L127" s="240"/>
      <c r="M127" s="232">
        <f t="shared" si="164"/>
        <v>3158.545</v>
      </c>
      <c r="N127" s="232"/>
      <c r="O127" s="232">
        <v>3158.545</v>
      </c>
      <c r="P127" s="232"/>
      <c r="Q127" s="232"/>
      <c r="R127" s="234">
        <f t="shared" si="247"/>
        <v>3158.545</v>
      </c>
      <c r="S127" s="232"/>
      <c r="T127" s="232">
        <v>3158.545</v>
      </c>
      <c r="U127" s="232"/>
      <c r="V127" s="235"/>
      <c r="W127" s="232">
        <f t="shared" si="248"/>
        <v>0</v>
      </c>
      <c r="X127" s="232">
        <f t="shared" si="249"/>
        <v>0</v>
      </c>
      <c r="Y127" s="232">
        <f t="shared" si="249"/>
        <v>0</v>
      </c>
      <c r="Z127" s="232">
        <f t="shared" si="249"/>
        <v>0</v>
      </c>
      <c r="AA127" s="232">
        <f t="shared" si="249"/>
        <v>0</v>
      </c>
      <c r="AB127" s="232">
        <f t="shared" si="250"/>
        <v>3158.545</v>
      </c>
      <c r="AC127" s="232"/>
      <c r="AD127" s="232">
        <f t="shared" si="251"/>
        <v>3158.545</v>
      </c>
      <c r="AE127" s="232">
        <f t="shared" si="251"/>
        <v>0</v>
      </c>
      <c r="AF127" s="232">
        <f t="shared" si="251"/>
        <v>0</v>
      </c>
      <c r="AG127" s="232">
        <f t="shared" si="252"/>
        <v>0</v>
      </c>
      <c r="AH127" s="232"/>
      <c r="AI127" s="232"/>
      <c r="AJ127" s="232"/>
      <c r="AK127" s="236"/>
      <c r="AL127" s="234">
        <f t="shared" si="253"/>
        <v>3158.545</v>
      </c>
      <c r="AM127" s="232"/>
      <c r="AN127" s="232">
        <f t="shared" si="264"/>
        <v>3158.545</v>
      </c>
      <c r="AO127" s="232"/>
      <c r="AP127" s="235">
        <f t="shared" si="265"/>
        <v>0</v>
      </c>
      <c r="AQ127" s="232">
        <f>AR127+AS127+AT127+AU127</f>
        <v>3158.545</v>
      </c>
      <c r="AR127" s="232"/>
      <c r="AS127" s="232">
        <v>3158.545</v>
      </c>
      <c r="AT127" s="232"/>
      <c r="AU127" s="232"/>
      <c r="AV127" s="232">
        <f t="shared" si="266"/>
        <v>3158.545</v>
      </c>
      <c r="AW127" s="232"/>
      <c r="AX127" s="232">
        <v>3158.545</v>
      </c>
      <c r="AY127" s="232"/>
      <c r="AZ127" s="232"/>
      <c r="BA127" s="232">
        <f>BB127+BC127+BD127+BE127</f>
        <v>271.026</v>
      </c>
      <c r="BB127" s="232"/>
      <c r="BC127" s="232">
        <v>271.026</v>
      </c>
      <c r="BD127" s="232"/>
      <c r="BE127" s="232"/>
      <c r="BF127" s="232">
        <f t="shared" si="267"/>
        <v>271.026</v>
      </c>
      <c r="BG127" s="232"/>
      <c r="BH127" s="232">
        <v>271.026</v>
      </c>
      <c r="BI127" s="232"/>
      <c r="BJ127" s="232"/>
      <c r="BK127" s="232">
        <f t="shared" si="254"/>
        <v>3429.571</v>
      </c>
      <c r="BL127" s="232">
        <f t="shared" si="255"/>
        <v>0</v>
      </c>
      <c r="BM127" s="232">
        <f t="shared" si="256"/>
        <v>3429.571</v>
      </c>
      <c r="BN127" s="232">
        <f t="shared" si="257"/>
        <v>0</v>
      </c>
      <c r="BO127" s="232">
        <f t="shared" si="258"/>
        <v>0</v>
      </c>
      <c r="BP127" s="316">
        <f t="shared" si="259"/>
        <v>0</v>
      </c>
      <c r="BQ127" s="317">
        <f t="shared" si="260"/>
        <v>0</v>
      </c>
      <c r="BR127" s="317">
        <f t="shared" si="261"/>
        <v>0</v>
      </c>
      <c r="BS127" s="317">
        <f t="shared" si="262"/>
        <v>0</v>
      </c>
      <c r="BT127" s="317">
        <f t="shared" si="263"/>
        <v>0</v>
      </c>
      <c r="BU127" s="229">
        <v>1</v>
      </c>
      <c r="BV127" s="305"/>
      <c r="BW127" s="331" t="s">
        <v>228</v>
      </c>
      <c r="BY127" s="232"/>
      <c r="BZ127" s="232">
        <v>1</v>
      </c>
      <c r="CA127" s="317"/>
      <c r="CB127" s="232"/>
      <c r="CC127" s="232"/>
    </row>
    <row r="128" spans="1:81" s="229" customFormat="1" ht="20.25" customHeight="1">
      <c r="A128" s="230">
        <v>99</v>
      </c>
      <c r="B128" s="239" t="s">
        <v>149</v>
      </c>
      <c r="C128" s="232">
        <f t="shared" si="242"/>
        <v>3475.5339999999997</v>
      </c>
      <c r="D128" s="233"/>
      <c r="E128" s="232">
        <f t="shared" si="243"/>
        <v>3475.5339999999997</v>
      </c>
      <c r="F128" s="233"/>
      <c r="G128" s="232"/>
      <c r="H128" s="232">
        <f t="shared" si="244"/>
        <v>3992.20767</v>
      </c>
      <c r="I128" s="233"/>
      <c r="J128" s="232">
        <f t="shared" si="245"/>
        <v>3475.5339999999997</v>
      </c>
      <c r="K128" s="232">
        <f t="shared" si="246"/>
        <v>516.67367</v>
      </c>
      <c r="L128" s="240"/>
      <c r="M128" s="232">
        <f t="shared" si="164"/>
        <v>3475.5339999999997</v>
      </c>
      <c r="N128" s="232"/>
      <c r="O128" s="232">
        <f>1212.086+2263.448</f>
        <v>3475.5339999999997</v>
      </c>
      <c r="P128" s="232"/>
      <c r="Q128" s="232"/>
      <c r="R128" s="234">
        <f t="shared" si="247"/>
        <v>3475.5339999999997</v>
      </c>
      <c r="S128" s="232"/>
      <c r="T128" s="232">
        <f>1212.086+2263.448</f>
        <v>3475.5339999999997</v>
      </c>
      <c r="U128" s="232"/>
      <c r="V128" s="235"/>
      <c r="W128" s="232">
        <f t="shared" si="248"/>
        <v>0</v>
      </c>
      <c r="X128" s="232">
        <f t="shared" si="249"/>
        <v>0</v>
      </c>
      <c r="Y128" s="232">
        <f t="shared" si="249"/>
        <v>0</v>
      </c>
      <c r="Z128" s="232">
        <f t="shared" si="249"/>
        <v>0</v>
      </c>
      <c r="AA128" s="232">
        <f t="shared" si="249"/>
        <v>0</v>
      </c>
      <c r="AB128" s="232">
        <f t="shared" si="250"/>
        <v>3475.5339999999997</v>
      </c>
      <c r="AC128" s="232"/>
      <c r="AD128" s="232">
        <f t="shared" si="251"/>
        <v>3475.5339999999997</v>
      </c>
      <c r="AE128" s="232">
        <f t="shared" si="251"/>
        <v>0</v>
      </c>
      <c r="AF128" s="232">
        <f t="shared" si="251"/>
        <v>0</v>
      </c>
      <c r="AG128" s="232">
        <f t="shared" si="252"/>
        <v>0</v>
      </c>
      <c r="AH128" s="232"/>
      <c r="AI128" s="232"/>
      <c r="AJ128" s="232"/>
      <c r="AK128" s="236"/>
      <c r="AL128" s="234">
        <f t="shared" si="253"/>
        <v>3475.5339999999997</v>
      </c>
      <c r="AM128" s="232"/>
      <c r="AN128" s="232">
        <f t="shared" si="264"/>
        <v>3475.5339999999997</v>
      </c>
      <c r="AO128" s="232"/>
      <c r="AP128" s="235">
        <f t="shared" si="265"/>
        <v>0</v>
      </c>
      <c r="AQ128" s="232">
        <f>AR128+AS128+AT128+AU128</f>
        <v>2007.9650000000001</v>
      </c>
      <c r="AR128" s="232"/>
      <c r="AS128" s="232">
        <f>1212.086+795.879</f>
        <v>2007.9650000000001</v>
      </c>
      <c r="AT128" s="232"/>
      <c r="AU128" s="232"/>
      <c r="AV128" s="232">
        <f t="shared" si="266"/>
        <v>2007.9650000000001</v>
      </c>
      <c r="AW128" s="232"/>
      <c r="AX128" s="232">
        <f>1212.086+795.879</f>
        <v>2007.9650000000001</v>
      </c>
      <c r="AY128" s="232"/>
      <c r="AZ128" s="232"/>
      <c r="BA128" s="232">
        <f>BB128+BC128+BD128+BE128</f>
        <v>516.67367</v>
      </c>
      <c r="BB128" s="232"/>
      <c r="BC128" s="232">
        <v>516.67367</v>
      </c>
      <c r="BD128" s="232"/>
      <c r="BE128" s="232"/>
      <c r="BF128" s="232">
        <f t="shared" si="267"/>
        <v>516.67367</v>
      </c>
      <c r="BG128" s="232"/>
      <c r="BH128" s="232">
        <v>516.67367</v>
      </c>
      <c r="BI128" s="232"/>
      <c r="BJ128" s="232"/>
      <c r="BK128" s="232">
        <f t="shared" si="254"/>
        <v>2524.6386700000003</v>
      </c>
      <c r="BL128" s="232">
        <f t="shared" si="255"/>
        <v>0</v>
      </c>
      <c r="BM128" s="232">
        <f t="shared" si="256"/>
        <v>2524.6386700000003</v>
      </c>
      <c r="BN128" s="232">
        <f t="shared" si="257"/>
        <v>0</v>
      </c>
      <c r="BO128" s="232">
        <f t="shared" si="258"/>
        <v>0</v>
      </c>
      <c r="BP128" s="316">
        <f t="shared" si="259"/>
        <v>1467.5689999999995</v>
      </c>
      <c r="BQ128" s="317">
        <f t="shared" si="260"/>
        <v>0</v>
      </c>
      <c r="BR128" s="317">
        <f t="shared" si="261"/>
        <v>1467.5689999999995</v>
      </c>
      <c r="BS128" s="317">
        <f t="shared" si="262"/>
        <v>0</v>
      </c>
      <c r="BT128" s="317">
        <f t="shared" si="263"/>
        <v>0</v>
      </c>
      <c r="BU128" s="229">
        <v>1</v>
      </c>
      <c r="BV128" s="305"/>
      <c r="BW128" s="331" t="s">
        <v>251</v>
      </c>
      <c r="BY128" s="232">
        <v>1467.6</v>
      </c>
      <c r="BZ128" s="232">
        <v>1</v>
      </c>
      <c r="CA128" s="317"/>
      <c r="CB128" s="232"/>
      <c r="CC128" s="232"/>
    </row>
    <row r="129" spans="1:81" s="229" customFormat="1" ht="20.25" customHeight="1">
      <c r="A129" s="230">
        <v>100</v>
      </c>
      <c r="B129" s="239" t="s">
        <v>150</v>
      </c>
      <c r="C129" s="232">
        <f t="shared" si="242"/>
        <v>521.383</v>
      </c>
      <c r="D129" s="233"/>
      <c r="E129" s="232">
        <f t="shared" si="243"/>
        <v>521.383</v>
      </c>
      <c r="F129" s="233"/>
      <c r="G129" s="232"/>
      <c r="H129" s="232">
        <f t="shared" si="244"/>
        <v>568.9630000000001</v>
      </c>
      <c r="I129" s="233"/>
      <c r="J129" s="232">
        <f t="shared" si="245"/>
        <v>521.383</v>
      </c>
      <c r="K129" s="232">
        <f t="shared" si="246"/>
        <v>47.58</v>
      </c>
      <c r="L129" s="240"/>
      <c r="M129" s="232">
        <f t="shared" si="164"/>
        <v>521.383</v>
      </c>
      <c r="N129" s="232"/>
      <c r="O129" s="232">
        <v>279.172</v>
      </c>
      <c r="P129" s="232"/>
      <c r="Q129" s="232">
        <v>242.211</v>
      </c>
      <c r="R129" s="234">
        <f t="shared" si="247"/>
        <v>521.383</v>
      </c>
      <c r="S129" s="232"/>
      <c r="T129" s="232">
        <v>279.172</v>
      </c>
      <c r="U129" s="232"/>
      <c r="V129" s="235">
        <v>242.211</v>
      </c>
      <c r="W129" s="232">
        <f t="shared" si="248"/>
        <v>0</v>
      </c>
      <c r="X129" s="232">
        <f t="shared" si="249"/>
        <v>0</v>
      </c>
      <c r="Y129" s="232">
        <f t="shared" si="249"/>
        <v>0</v>
      </c>
      <c r="Z129" s="232">
        <f t="shared" si="249"/>
        <v>0</v>
      </c>
      <c r="AA129" s="232">
        <f t="shared" si="249"/>
        <v>0</v>
      </c>
      <c r="AB129" s="232">
        <f t="shared" si="250"/>
        <v>521.383</v>
      </c>
      <c r="AC129" s="232"/>
      <c r="AD129" s="232">
        <f t="shared" si="251"/>
        <v>279.172</v>
      </c>
      <c r="AE129" s="232">
        <f t="shared" si="251"/>
        <v>0</v>
      </c>
      <c r="AF129" s="232">
        <f t="shared" si="251"/>
        <v>242.211</v>
      </c>
      <c r="AG129" s="232">
        <f t="shared" si="252"/>
        <v>0</v>
      </c>
      <c r="AH129" s="232"/>
      <c r="AI129" s="232"/>
      <c r="AJ129" s="232"/>
      <c r="AK129" s="236"/>
      <c r="AL129" s="234">
        <f t="shared" si="253"/>
        <v>521.383</v>
      </c>
      <c r="AM129" s="232"/>
      <c r="AN129" s="232">
        <f t="shared" si="264"/>
        <v>279.172</v>
      </c>
      <c r="AO129" s="232"/>
      <c r="AP129" s="235">
        <f t="shared" si="265"/>
        <v>242.211</v>
      </c>
      <c r="AQ129" s="232">
        <f>AR129+AS129+AT129+AU129</f>
        <v>500.42</v>
      </c>
      <c r="AR129" s="232"/>
      <c r="AS129" s="232">
        <v>267.605</v>
      </c>
      <c r="AT129" s="232"/>
      <c r="AU129" s="232">
        <v>232.815</v>
      </c>
      <c r="AV129" s="232">
        <f t="shared" si="266"/>
        <v>500.42</v>
      </c>
      <c r="AW129" s="232"/>
      <c r="AX129" s="232">
        <v>267.605</v>
      </c>
      <c r="AY129" s="232"/>
      <c r="AZ129" s="232">
        <v>232.815</v>
      </c>
      <c r="BA129" s="232">
        <f>BB129+BC129+BD129+BE129</f>
        <v>47.58</v>
      </c>
      <c r="BB129" s="232"/>
      <c r="BC129" s="232">
        <v>31.395</v>
      </c>
      <c r="BD129" s="232"/>
      <c r="BE129" s="232">
        <v>16.185</v>
      </c>
      <c r="BF129" s="232">
        <f t="shared" si="267"/>
        <v>47.58</v>
      </c>
      <c r="BG129" s="232"/>
      <c r="BH129" s="232">
        <v>31.395</v>
      </c>
      <c r="BI129" s="232"/>
      <c r="BJ129" s="232">
        <v>16.185</v>
      </c>
      <c r="BK129" s="232">
        <f t="shared" si="254"/>
        <v>548</v>
      </c>
      <c r="BL129" s="232">
        <f t="shared" si="255"/>
        <v>0</v>
      </c>
      <c r="BM129" s="232">
        <f t="shared" si="256"/>
        <v>299</v>
      </c>
      <c r="BN129" s="232">
        <f t="shared" si="257"/>
        <v>0</v>
      </c>
      <c r="BO129" s="232">
        <f t="shared" si="258"/>
        <v>249</v>
      </c>
      <c r="BP129" s="316">
        <f t="shared" si="259"/>
        <v>20.963000000000022</v>
      </c>
      <c r="BQ129" s="317">
        <f t="shared" si="260"/>
        <v>0</v>
      </c>
      <c r="BR129" s="317">
        <f t="shared" si="261"/>
        <v>11.567000000000007</v>
      </c>
      <c r="BS129" s="317">
        <f t="shared" si="262"/>
        <v>0</v>
      </c>
      <c r="BT129" s="317">
        <f t="shared" si="263"/>
        <v>9.396000000000015</v>
      </c>
      <c r="BU129" s="229">
        <v>1</v>
      </c>
      <c r="BV129" s="305"/>
      <c r="BW129" s="331" t="s">
        <v>252</v>
      </c>
      <c r="BY129" s="232">
        <v>21</v>
      </c>
      <c r="BZ129" s="232">
        <v>1</v>
      </c>
      <c r="CA129" s="317"/>
      <c r="CB129" s="232"/>
      <c r="CC129" s="232"/>
    </row>
    <row r="130" spans="1:81" s="229" customFormat="1" ht="20.25" customHeight="1">
      <c r="A130" s="230">
        <v>101</v>
      </c>
      <c r="B130" s="239" t="s">
        <v>151</v>
      </c>
      <c r="C130" s="232">
        <f t="shared" si="242"/>
        <v>1080.7069999999999</v>
      </c>
      <c r="D130" s="233"/>
      <c r="E130" s="232">
        <f t="shared" si="243"/>
        <v>1080.7069999999999</v>
      </c>
      <c r="F130" s="233"/>
      <c r="G130" s="232"/>
      <c r="H130" s="232">
        <f t="shared" si="244"/>
        <v>1155.1169499999999</v>
      </c>
      <c r="I130" s="233"/>
      <c r="J130" s="232">
        <f t="shared" si="245"/>
        <v>1080.7069999999999</v>
      </c>
      <c r="K130" s="232">
        <f t="shared" si="246"/>
        <v>74.40995000000001</v>
      </c>
      <c r="L130" s="240"/>
      <c r="M130" s="232">
        <f t="shared" si="164"/>
        <v>1080.7069999999999</v>
      </c>
      <c r="N130" s="232"/>
      <c r="O130" s="232">
        <v>578.66</v>
      </c>
      <c r="P130" s="232"/>
      <c r="Q130" s="232">
        <v>502.047</v>
      </c>
      <c r="R130" s="234">
        <f t="shared" si="247"/>
        <v>1080.7069999999999</v>
      </c>
      <c r="S130" s="232"/>
      <c r="T130" s="232">
        <v>578.66</v>
      </c>
      <c r="U130" s="232"/>
      <c r="V130" s="235">
        <v>502.047</v>
      </c>
      <c r="W130" s="232">
        <f t="shared" si="248"/>
        <v>0</v>
      </c>
      <c r="X130" s="232">
        <f t="shared" si="249"/>
        <v>0</v>
      </c>
      <c r="Y130" s="232">
        <f t="shared" si="249"/>
        <v>0</v>
      </c>
      <c r="Z130" s="232">
        <f t="shared" si="249"/>
        <v>0</v>
      </c>
      <c r="AA130" s="232">
        <f t="shared" si="249"/>
        <v>0</v>
      </c>
      <c r="AB130" s="232">
        <f t="shared" si="250"/>
        <v>1080.7069999999999</v>
      </c>
      <c r="AC130" s="232"/>
      <c r="AD130" s="232">
        <f t="shared" si="251"/>
        <v>578.66</v>
      </c>
      <c r="AE130" s="232">
        <f t="shared" si="251"/>
        <v>0</v>
      </c>
      <c r="AF130" s="232">
        <f t="shared" si="251"/>
        <v>502.047</v>
      </c>
      <c r="AG130" s="232">
        <f t="shared" si="252"/>
        <v>0</v>
      </c>
      <c r="AH130" s="232"/>
      <c r="AI130" s="232"/>
      <c r="AJ130" s="232"/>
      <c r="AK130" s="236"/>
      <c r="AL130" s="234">
        <f t="shared" si="253"/>
        <v>1080.7069999999999</v>
      </c>
      <c r="AM130" s="232"/>
      <c r="AN130" s="232">
        <f t="shared" si="264"/>
        <v>578.66</v>
      </c>
      <c r="AO130" s="232"/>
      <c r="AP130" s="235">
        <f t="shared" si="265"/>
        <v>502.047</v>
      </c>
      <c r="AQ130" s="232">
        <f>AR130+AS130+AT130+AU130</f>
        <v>1064.4964</v>
      </c>
      <c r="AR130" s="232"/>
      <c r="AS130" s="232">
        <f>569.9801</f>
        <v>569.9801</v>
      </c>
      <c r="AT130" s="232"/>
      <c r="AU130" s="232">
        <f>494.5163</f>
        <v>494.5163</v>
      </c>
      <c r="AV130" s="232">
        <f t="shared" si="266"/>
        <v>1064.4964</v>
      </c>
      <c r="AW130" s="232"/>
      <c r="AX130" s="232">
        <f>569.9801</f>
        <v>569.9801</v>
      </c>
      <c r="AY130" s="232"/>
      <c r="AZ130" s="232">
        <f>494.5163</f>
        <v>494.5163</v>
      </c>
      <c r="BA130" s="232">
        <f>BB130+BC130+BD130+BE130</f>
        <v>74.40995000000001</v>
      </c>
      <c r="BB130" s="232"/>
      <c r="BC130" s="232">
        <v>39.73687</v>
      </c>
      <c r="BD130" s="232"/>
      <c r="BE130" s="232">
        <v>34.67308</v>
      </c>
      <c r="BF130" s="232">
        <f t="shared" si="267"/>
        <v>74.40995000000001</v>
      </c>
      <c r="BG130" s="232"/>
      <c r="BH130" s="232">
        <v>39.73687</v>
      </c>
      <c r="BI130" s="232"/>
      <c r="BJ130" s="232">
        <v>34.67308</v>
      </c>
      <c r="BK130" s="232">
        <f t="shared" si="254"/>
        <v>1138.90635</v>
      </c>
      <c r="BL130" s="232">
        <f t="shared" si="255"/>
        <v>0</v>
      </c>
      <c r="BM130" s="232">
        <f t="shared" si="256"/>
        <v>609.71697</v>
      </c>
      <c r="BN130" s="232">
        <f t="shared" si="257"/>
        <v>0</v>
      </c>
      <c r="BO130" s="232">
        <f t="shared" si="258"/>
        <v>529.18938</v>
      </c>
      <c r="BP130" s="316">
        <f t="shared" si="259"/>
        <v>16.2106</v>
      </c>
      <c r="BQ130" s="317">
        <f t="shared" si="260"/>
        <v>0</v>
      </c>
      <c r="BR130" s="317">
        <f t="shared" si="261"/>
        <v>8.679899999999975</v>
      </c>
      <c r="BS130" s="317">
        <f t="shared" si="262"/>
        <v>0</v>
      </c>
      <c r="BT130" s="317">
        <f t="shared" si="263"/>
        <v>7.530700000000024</v>
      </c>
      <c r="BU130" s="229">
        <v>1</v>
      </c>
      <c r="BV130" s="305"/>
      <c r="BW130" s="331" t="s">
        <v>253</v>
      </c>
      <c r="BY130" s="232">
        <v>16.2</v>
      </c>
      <c r="BZ130" s="232">
        <v>1</v>
      </c>
      <c r="CA130" s="317"/>
      <c r="CB130" s="232"/>
      <c r="CC130" s="232"/>
    </row>
    <row r="131" spans="1:81" s="229" customFormat="1" ht="15" customHeight="1" hidden="1">
      <c r="A131" s="230"/>
      <c r="B131" s="239" t="s">
        <v>152</v>
      </c>
      <c r="C131" s="232">
        <f t="shared" si="242"/>
        <v>0</v>
      </c>
      <c r="D131" s="233"/>
      <c r="E131" s="232">
        <f t="shared" si="243"/>
        <v>0</v>
      </c>
      <c r="F131" s="233"/>
      <c r="G131" s="232"/>
      <c r="H131" s="232">
        <f t="shared" si="244"/>
        <v>0</v>
      </c>
      <c r="I131" s="233"/>
      <c r="J131" s="232">
        <f t="shared" si="245"/>
        <v>0</v>
      </c>
      <c r="K131" s="232">
        <f t="shared" si="246"/>
        <v>0</v>
      </c>
      <c r="L131" s="240"/>
      <c r="M131" s="232"/>
      <c r="N131" s="232"/>
      <c r="O131" s="232"/>
      <c r="P131" s="232"/>
      <c r="Q131" s="232"/>
      <c r="R131" s="234">
        <f t="shared" si="247"/>
        <v>0</v>
      </c>
      <c r="S131" s="232"/>
      <c r="T131" s="232"/>
      <c r="U131" s="232"/>
      <c r="V131" s="235"/>
      <c r="W131" s="232">
        <f t="shared" si="248"/>
        <v>0</v>
      </c>
      <c r="X131" s="232">
        <f t="shared" si="249"/>
        <v>0</v>
      </c>
      <c r="Y131" s="232">
        <f t="shared" si="249"/>
        <v>0</v>
      </c>
      <c r="Z131" s="232">
        <f t="shared" si="249"/>
        <v>0</v>
      </c>
      <c r="AA131" s="232">
        <f t="shared" si="249"/>
        <v>0</v>
      </c>
      <c r="AB131" s="232">
        <f t="shared" si="250"/>
        <v>0</v>
      </c>
      <c r="AC131" s="232"/>
      <c r="AD131" s="232">
        <f t="shared" si="251"/>
        <v>0</v>
      </c>
      <c r="AE131" s="232">
        <f t="shared" si="251"/>
        <v>0</v>
      </c>
      <c r="AF131" s="232">
        <f t="shared" si="251"/>
        <v>0</v>
      </c>
      <c r="AG131" s="232">
        <f t="shared" si="252"/>
        <v>0</v>
      </c>
      <c r="AH131" s="232"/>
      <c r="AI131" s="232"/>
      <c r="AJ131" s="232"/>
      <c r="AK131" s="236"/>
      <c r="AL131" s="234">
        <f t="shared" si="253"/>
        <v>0</v>
      </c>
      <c r="AM131" s="232"/>
      <c r="AN131" s="232"/>
      <c r="AO131" s="232"/>
      <c r="AP131" s="235"/>
      <c r="AQ131" s="232"/>
      <c r="AR131" s="232"/>
      <c r="AS131" s="232"/>
      <c r="AT131" s="232"/>
      <c r="AU131" s="232"/>
      <c r="AV131" s="232"/>
      <c r="AW131" s="232"/>
      <c r="AX131" s="232"/>
      <c r="AY131" s="232"/>
      <c r="AZ131" s="232"/>
      <c r="BA131" s="232"/>
      <c r="BB131" s="232"/>
      <c r="BC131" s="232"/>
      <c r="BD131" s="232"/>
      <c r="BE131" s="232"/>
      <c r="BF131" s="232"/>
      <c r="BG131" s="232"/>
      <c r="BH131" s="232"/>
      <c r="BI131" s="232"/>
      <c r="BJ131" s="232"/>
      <c r="BK131" s="232">
        <f t="shared" si="254"/>
        <v>0</v>
      </c>
      <c r="BL131" s="232">
        <f t="shared" si="255"/>
        <v>0</v>
      </c>
      <c r="BM131" s="232">
        <f t="shared" si="256"/>
        <v>0</v>
      </c>
      <c r="BN131" s="232">
        <f t="shared" si="257"/>
        <v>0</v>
      </c>
      <c r="BO131" s="232">
        <f t="shared" si="258"/>
        <v>0</v>
      </c>
      <c r="BP131" s="316">
        <f t="shared" si="259"/>
        <v>0</v>
      </c>
      <c r="BQ131" s="317">
        <f t="shared" si="260"/>
        <v>0</v>
      </c>
      <c r="BR131" s="317">
        <f t="shared" si="261"/>
        <v>0</v>
      </c>
      <c r="BS131" s="317">
        <f t="shared" si="262"/>
        <v>0</v>
      </c>
      <c r="BT131" s="317">
        <f t="shared" si="263"/>
        <v>0</v>
      </c>
      <c r="BV131" s="305"/>
      <c r="BW131" s="332"/>
      <c r="BY131" s="232"/>
      <c r="BZ131" s="232"/>
      <c r="CA131" s="317"/>
      <c r="CB131" s="232"/>
      <c r="CC131" s="232"/>
    </row>
    <row r="132" spans="1:81" s="229" customFormat="1" ht="15" customHeight="1">
      <c r="A132" s="230">
        <v>102</v>
      </c>
      <c r="B132" s="239" t="s">
        <v>153</v>
      </c>
      <c r="C132" s="232">
        <f t="shared" si="242"/>
        <v>1463.5710000000001</v>
      </c>
      <c r="D132" s="233"/>
      <c r="E132" s="232">
        <f t="shared" si="243"/>
        <v>1463.5710000000001</v>
      </c>
      <c r="F132" s="233"/>
      <c r="G132" s="232"/>
      <c r="H132" s="232">
        <f t="shared" si="244"/>
        <v>2425.95807</v>
      </c>
      <c r="I132" s="233"/>
      <c r="J132" s="232">
        <f t="shared" si="245"/>
        <v>1463.5710000000001</v>
      </c>
      <c r="K132" s="232">
        <f t="shared" si="246"/>
        <v>962.38707</v>
      </c>
      <c r="L132" s="240"/>
      <c r="M132" s="232">
        <f t="shared" si="164"/>
        <v>1463.5710000000001</v>
      </c>
      <c r="N132" s="232"/>
      <c r="O132" s="232">
        <v>375.307</v>
      </c>
      <c r="P132" s="232"/>
      <c r="Q132" s="232">
        <f>325.617+762.647</f>
        <v>1088.2640000000001</v>
      </c>
      <c r="R132" s="234">
        <f t="shared" si="247"/>
        <v>1463.5710000000001</v>
      </c>
      <c r="S132" s="232"/>
      <c r="T132" s="232">
        <v>375.307</v>
      </c>
      <c r="U132" s="232"/>
      <c r="V132" s="235">
        <f>325.617+762.647</f>
        <v>1088.2640000000001</v>
      </c>
      <c r="W132" s="232">
        <f t="shared" si="248"/>
        <v>0</v>
      </c>
      <c r="X132" s="232">
        <f t="shared" si="249"/>
        <v>0</v>
      </c>
      <c r="Y132" s="232">
        <f t="shared" si="249"/>
        <v>0</v>
      </c>
      <c r="Z132" s="232">
        <f t="shared" si="249"/>
        <v>0</v>
      </c>
      <c r="AA132" s="232">
        <f t="shared" si="249"/>
        <v>0</v>
      </c>
      <c r="AB132" s="232">
        <f t="shared" si="250"/>
        <v>1463.5710000000001</v>
      </c>
      <c r="AC132" s="232"/>
      <c r="AD132" s="232">
        <f t="shared" si="251"/>
        <v>375.307</v>
      </c>
      <c r="AE132" s="232">
        <f t="shared" si="251"/>
        <v>0</v>
      </c>
      <c r="AF132" s="232">
        <f t="shared" si="251"/>
        <v>1088.2640000000001</v>
      </c>
      <c r="AG132" s="232">
        <f t="shared" si="252"/>
        <v>0</v>
      </c>
      <c r="AH132" s="232"/>
      <c r="AI132" s="232"/>
      <c r="AJ132" s="232"/>
      <c r="AK132" s="236"/>
      <c r="AL132" s="234">
        <f t="shared" si="253"/>
        <v>1463.5710000000001</v>
      </c>
      <c r="AM132" s="232"/>
      <c r="AN132" s="232">
        <f t="shared" si="264"/>
        <v>375.307</v>
      </c>
      <c r="AO132" s="232"/>
      <c r="AP132" s="235">
        <f t="shared" si="265"/>
        <v>1088.2640000000001</v>
      </c>
      <c r="AQ132" s="232">
        <f>AR132+AS132+AT132+AU132</f>
        <v>1463.5710000000001</v>
      </c>
      <c r="AR132" s="232"/>
      <c r="AS132" s="232">
        <v>375.307</v>
      </c>
      <c r="AT132" s="232"/>
      <c r="AU132" s="232">
        <f>762.647+325.617</f>
        <v>1088.2640000000001</v>
      </c>
      <c r="AV132" s="232">
        <f t="shared" si="266"/>
        <v>1463.5710000000001</v>
      </c>
      <c r="AW132" s="232"/>
      <c r="AX132" s="232">
        <v>375.307</v>
      </c>
      <c r="AY132" s="232"/>
      <c r="AZ132" s="232">
        <f>762.647+325.617</f>
        <v>1088.2640000000001</v>
      </c>
      <c r="BA132" s="232">
        <f>BB132+BC132+BD132+BE132</f>
        <v>962.38707</v>
      </c>
      <c r="BB132" s="232"/>
      <c r="BC132" s="232">
        <v>107.06883</v>
      </c>
      <c r="BD132" s="232"/>
      <c r="BE132" s="232">
        <v>855.31824</v>
      </c>
      <c r="BF132" s="232">
        <f t="shared" si="267"/>
        <v>962.38707</v>
      </c>
      <c r="BG132" s="232"/>
      <c r="BH132" s="232">
        <v>107.06883</v>
      </c>
      <c r="BI132" s="232"/>
      <c r="BJ132" s="232">
        <v>855.31824</v>
      </c>
      <c r="BK132" s="232">
        <f t="shared" si="254"/>
        <v>2425.95807</v>
      </c>
      <c r="BL132" s="232">
        <f t="shared" si="255"/>
        <v>0</v>
      </c>
      <c r="BM132" s="232">
        <f t="shared" si="256"/>
        <v>482.37583</v>
      </c>
      <c r="BN132" s="232">
        <f t="shared" si="257"/>
        <v>0</v>
      </c>
      <c r="BO132" s="232">
        <f t="shared" si="258"/>
        <v>1943.5822400000002</v>
      </c>
      <c r="BP132" s="316">
        <f t="shared" si="259"/>
        <v>0</v>
      </c>
      <c r="BQ132" s="317">
        <f t="shared" si="260"/>
        <v>0</v>
      </c>
      <c r="BR132" s="317">
        <f t="shared" si="261"/>
        <v>0</v>
      </c>
      <c r="BS132" s="317">
        <f t="shared" si="262"/>
        <v>0</v>
      </c>
      <c r="BT132" s="317">
        <f t="shared" si="263"/>
        <v>0</v>
      </c>
      <c r="BU132" s="229">
        <v>1</v>
      </c>
      <c r="BV132" s="305"/>
      <c r="BW132" s="331" t="s">
        <v>228</v>
      </c>
      <c r="BY132" s="232"/>
      <c r="BZ132" s="232">
        <v>1</v>
      </c>
      <c r="CA132" s="317"/>
      <c r="CB132" s="232"/>
      <c r="CC132" s="232"/>
    </row>
    <row r="133" spans="1:81" s="229" customFormat="1" ht="21.75" customHeight="1">
      <c r="A133" s="238"/>
      <c r="B133" s="301" t="s">
        <v>25</v>
      </c>
      <c r="C133" s="228">
        <f aca="true" t="shared" si="268" ref="C133:K133">SUM(C134:C147)</f>
        <v>45028.380000000005</v>
      </c>
      <c r="D133" s="228">
        <f t="shared" si="268"/>
        <v>0</v>
      </c>
      <c r="E133" s="228">
        <f t="shared" si="268"/>
        <v>45028.380000000005</v>
      </c>
      <c r="F133" s="228">
        <f t="shared" si="268"/>
        <v>0</v>
      </c>
      <c r="G133" s="228">
        <f t="shared" si="268"/>
        <v>0</v>
      </c>
      <c r="H133" s="228">
        <f t="shared" si="268"/>
        <v>52165.39975</v>
      </c>
      <c r="I133" s="228">
        <f t="shared" si="268"/>
        <v>0</v>
      </c>
      <c r="J133" s="228">
        <f t="shared" si="268"/>
        <v>44676.196</v>
      </c>
      <c r="K133" s="228">
        <f t="shared" si="268"/>
        <v>7489.20375</v>
      </c>
      <c r="L133" s="224"/>
      <c r="M133" s="223">
        <f t="shared" si="164"/>
        <v>45028.38</v>
      </c>
      <c r="N133" s="223">
        <f>SUM(N134:N147)</f>
        <v>0</v>
      </c>
      <c r="O133" s="223">
        <f>SUM(O134:O147)</f>
        <v>39076.481999999996</v>
      </c>
      <c r="P133" s="223">
        <f>SUM(P134:P147)</f>
        <v>0</v>
      </c>
      <c r="Q133" s="223">
        <f>SUM(Q134:Q147)</f>
        <v>5951.898</v>
      </c>
      <c r="R133" s="225">
        <f aca="true" t="shared" si="269" ref="R133:AP133">SUM(R134:R147)</f>
        <v>44676.196</v>
      </c>
      <c r="S133" s="223">
        <f t="shared" si="269"/>
        <v>0</v>
      </c>
      <c r="T133" s="223">
        <f t="shared" si="269"/>
        <v>39075.39</v>
      </c>
      <c r="U133" s="223">
        <f t="shared" si="269"/>
        <v>0</v>
      </c>
      <c r="V133" s="226">
        <f t="shared" si="269"/>
        <v>5600.806</v>
      </c>
      <c r="W133" s="223">
        <f t="shared" si="269"/>
        <v>352.18399999999997</v>
      </c>
      <c r="X133" s="223">
        <f t="shared" si="269"/>
        <v>0</v>
      </c>
      <c r="Y133" s="223">
        <f t="shared" si="269"/>
        <v>1.0919999999999845</v>
      </c>
      <c r="Z133" s="223">
        <f t="shared" si="269"/>
        <v>0</v>
      </c>
      <c r="AA133" s="223">
        <f t="shared" si="269"/>
        <v>351.092</v>
      </c>
      <c r="AB133" s="223">
        <f t="shared" si="269"/>
        <v>44678.380000000005</v>
      </c>
      <c r="AC133" s="223">
        <f t="shared" si="269"/>
        <v>0</v>
      </c>
      <c r="AD133" s="223">
        <f t="shared" si="269"/>
        <v>39076.481999999996</v>
      </c>
      <c r="AE133" s="223">
        <f t="shared" si="269"/>
        <v>0</v>
      </c>
      <c r="AF133" s="223">
        <f t="shared" si="269"/>
        <v>5601.898</v>
      </c>
      <c r="AG133" s="223">
        <f t="shared" si="269"/>
        <v>2.184</v>
      </c>
      <c r="AH133" s="223">
        <f t="shared" si="269"/>
        <v>0</v>
      </c>
      <c r="AI133" s="223">
        <f t="shared" si="269"/>
        <v>1.092</v>
      </c>
      <c r="AJ133" s="223">
        <f t="shared" si="269"/>
        <v>0</v>
      </c>
      <c r="AK133" s="227">
        <f t="shared" si="269"/>
        <v>1.092</v>
      </c>
      <c r="AL133" s="225">
        <f t="shared" si="269"/>
        <v>44676.196</v>
      </c>
      <c r="AM133" s="223">
        <f t="shared" si="269"/>
        <v>0</v>
      </c>
      <c r="AN133" s="223">
        <f t="shared" si="269"/>
        <v>39075.39</v>
      </c>
      <c r="AO133" s="223">
        <f t="shared" si="269"/>
        <v>0</v>
      </c>
      <c r="AP133" s="226">
        <f t="shared" si="269"/>
        <v>5600.806</v>
      </c>
      <c r="AQ133" s="223">
        <f aca="true" t="shared" si="270" ref="AQ133:BE133">SUM(AQ134:AQ147)</f>
        <v>41873.55438</v>
      </c>
      <c r="AR133" s="223">
        <f t="shared" si="270"/>
        <v>0</v>
      </c>
      <c r="AS133" s="223">
        <f t="shared" si="270"/>
        <v>36650.565149999995</v>
      </c>
      <c r="AT133" s="223">
        <f t="shared" si="270"/>
        <v>0</v>
      </c>
      <c r="AU133" s="223">
        <f t="shared" si="270"/>
        <v>5222.98923</v>
      </c>
      <c r="AV133" s="223">
        <f t="shared" si="270"/>
        <v>41873.55438</v>
      </c>
      <c r="AW133" s="223">
        <f t="shared" si="270"/>
        <v>0</v>
      </c>
      <c r="AX133" s="223">
        <f t="shared" si="270"/>
        <v>36650.565149999995</v>
      </c>
      <c r="AY133" s="223">
        <f t="shared" si="270"/>
        <v>0</v>
      </c>
      <c r="AZ133" s="223">
        <f t="shared" si="270"/>
        <v>5222.98923</v>
      </c>
      <c r="BA133" s="223">
        <f t="shared" si="270"/>
        <v>7489.20375</v>
      </c>
      <c r="BB133" s="223">
        <f t="shared" si="270"/>
        <v>0</v>
      </c>
      <c r="BC133" s="223">
        <f t="shared" si="270"/>
        <v>4255.43186</v>
      </c>
      <c r="BD133" s="223">
        <f t="shared" si="270"/>
        <v>0</v>
      </c>
      <c r="BE133" s="223">
        <f t="shared" si="270"/>
        <v>3233.77189</v>
      </c>
      <c r="BF133" s="223">
        <f aca="true" t="shared" si="271" ref="BF133:BT133">SUM(BF134:BF147)</f>
        <v>7489.20375</v>
      </c>
      <c r="BG133" s="223">
        <f t="shared" si="271"/>
        <v>0</v>
      </c>
      <c r="BH133" s="223">
        <f t="shared" si="271"/>
        <v>4255.43186</v>
      </c>
      <c r="BI133" s="223">
        <f t="shared" si="271"/>
        <v>0</v>
      </c>
      <c r="BJ133" s="223">
        <f t="shared" si="271"/>
        <v>3233.77189</v>
      </c>
      <c r="BK133" s="223">
        <f t="shared" si="271"/>
        <v>49362.758129999995</v>
      </c>
      <c r="BL133" s="223">
        <f t="shared" si="271"/>
        <v>0</v>
      </c>
      <c r="BM133" s="223">
        <f t="shared" si="271"/>
        <v>40905.99701</v>
      </c>
      <c r="BN133" s="223">
        <f t="shared" si="271"/>
        <v>0</v>
      </c>
      <c r="BO133" s="223">
        <f t="shared" si="271"/>
        <v>8456.761120000001</v>
      </c>
      <c r="BP133" s="314">
        <f t="shared" si="271"/>
        <v>2802.6416200000003</v>
      </c>
      <c r="BQ133" s="315">
        <f t="shared" si="271"/>
        <v>0</v>
      </c>
      <c r="BR133" s="315">
        <f t="shared" si="271"/>
        <v>2424.824850000001</v>
      </c>
      <c r="BS133" s="315">
        <f t="shared" si="271"/>
        <v>0</v>
      </c>
      <c r="BT133" s="315">
        <f t="shared" si="271"/>
        <v>377.8167699999997</v>
      </c>
      <c r="BV133" s="305"/>
      <c r="BW133" s="349" t="s">
        <v>290</v>
      </c>
      <c r="BY133" s="223">
        <f>SUM(BY134:BY147)</f>
        <v>2406.2999999999997</v>
      </c>
      <c r="BZ133" s="223">
        <f>SUM(BZ134:BZ147)</f>
        <v>13</v>
      </c>
      <c r="CA133" s="315">
        <f>SUM(CA134:CA147)</f>
        <v>1</v>
      </c>
      <c r="CB133" s="223">
        <f>SUM(CB134:CB147)</f>
        <v>0</v>
      </c>
      <c r="CC133" s="223">
        <f>SUM(CC134:CC147)</f>
        <v>0</v>
      </c>
    </row>
    <row r="134" spans="1:81" s="229" customFormat="1" ht="15" customHeight="1">
      <c r="A134" s="230">
        <v>103</v>
      </c>
      <c r="B134" s="239" t="s">
        <v>154</v>
      </c>
      <c r="C134" s="232">
        <f aca="true" t="shared" si="272" ref="C134:C147">E134+D134+F134</f>
        <v>1270.934</v>
      </c>
      <c r="D134" s="233"/>
      <c r="E134" s="232">
        <f aca="true" t="shared" si="273" ref="E134:E147">M134</f>
        <v>1270.934</v>
      </c>
      <c r="F134" s="233"/>
      <c r="G134" s="232"/>
      <c r="H134" s="232">
        <f aca="true" t="shared" si="274" ref="H134:H147">I134+J134+K134</f>
        <v>1335.5676</v>
      </c>
      <c r="I134" s="233"/>
      <c r="J134" s="232">
        <f aca="true" t="shared" si="275" ref="J134:J147">AL134</f>
        <v>1268.75</v>
      </c>
      <c r="K134" s="232">
        <f aca="true" t="shared" si="276" ref="K134:K147">BF134</f>
        <v>66.8176</v>
      </c>
      <c r="L134" s="240"/>
      <c r="M134" s="232">
        <f t="shared" si="164"/>
        <v>1270.934</v>
      </c>
      <c r="N134" s="232"/>
      <c r="O134" s="232">
        <v>680.516</v>
      </c>
      <c r="P134" s="232"/>
      <c r="Q134" s="232">
        <v>590.418</v>
      </c>
      <c r="R134" s="234">
        <f aca="true" t="shared" si="277" ref="R134:R147">S134+T134+U134+V134</f>
        <v>1268.75</v>
      </c>
      <c r="S134" s="232"/>
      <c r="T134" s="232">
        <f>680.516-1.092</f>
        <v>679.424</v>
      </c>
      <c r="U134" s="232"/>
      <c r="V134" s="235">
        <f>590.418-1.092</f>
        <v>589.326</v>
      </c>
      <c r="W134" s="232">
        <f aca="true" t="shared" si="278" ref="W134:W147">X134+Y134+Z134+AA134</f>
        <v>2.183999999999969</v>
      </c>
      <c r="X134" s="232">
        <f aca="true" t="shared" si="279" ref="X134:AA147">N134-S134</f>
        <v>0</v>
      </c>
      <c r="Y134" s="232">
        <f t="shared" si="279"/>
        <v>1.0919999999999845</v>
      </c>
      <c r="Z134" s="232">
        <f t="shared" si="279"/>
        <v>0</v>
      </c>
      <c r="AA134" s="232">
        <f t="shared" si="279"/>
        <v>1.0919999999999845</v>
      </c>
      <c r="AB134" s="232">
        <f aca="true" t="shared" si="280" ref="AB134:AB147">AC134+AD134+AE134+AF134</f>
        <v>1270.934</v>
      </c>
      <c r="AC134" s="232"/>
      <c r="AD134" s="232">
        <f>680.516</f>
        <v>680.516</v>
      </c>
      <c r="AE134" s="232"/>
      <c r="AF134" s="232">
        <f>590.418</f>
        <v>590.418</v>
      </c>
      <c r="AG134" s="232">
        <f aca="true" t="shared" si="281" ref="AG134:AG147">AH134+AI134+AJ134+AK134</f>
        <v>2.184</v>
      </c>
      <c r="AH134" s="232"/>
      <c r="AI134" s="232">
        <v>1.092</v>
      </c>
      <c r="AJ134" s="232"/>
      <c r="AK134" s="236">
        <v>1.092</v>
      </c>
      <c r="AL134" s="234">
        <f aca="true" t="shared" si="282" ref="AL134:AL147">AM134+AN134+AO134+AP134</f>
        <v>1268.75</v>
      </c>
      <c r="AM134" s="232"/>
      <c r="AN134" s="232">
        <f>AD134-AI134</f>
        <v>679.424</v>
      </c>
      <c r="AO134" s="232"/>
      <c r="AP134" s="235">
        <f>590.418-AK134</f>
        <v>589.326</v>
      </c>
      <c r="AQ134" s="232">
        <f aca="true" t="shared" si="283" ref="AQ134:AQ147">AR134+AS134+AT134+AU134</f>
        <v>1268.75</v>
      </c>
      <c r="AR134" s="232"/>
      <c r="AS134" s="232">
        <v>679.424</v>
      </c>
      <c r="AT134" s="232"/>
      <c r="AU134" s="232">
        <v>589.326</v>
      </c>
      <c r="AV134" s="232">
        <f aca="true" t="shared" si="284" ref="AV134:AV147">AW134+AX134+AY134+AZ134</f>
        <v>1268.75</v>
      </c>
      <c r="AW134" s="232"/>
      <c r="AX134" s="232">
        <v>679.424</v>
      </c>
      <c r="AY134" s="232"/>
      <c r="AZ134" s="232">
        <v>589.326</v>
      </c>
      <c r="BA134" s="232">
        <f aca="true" t="shared" si="285" ref="BA134:BA147">BB134+BC134+BD134+BE134</f>
        <v>66.8176</v>
      </c>
      <c r="BB134" s="232"/>
      <c r="BC134" s="232">
        <v>35.76011</v>
      </c>
      <c r="BD134" s="232"/>
      <c r="BE134" s="232">
        <v>31.05749</v>
      </c>
      <c r="BF134" s="232">
        <f aca="true" t="shared" si="286" ref="BF134:BF147">BG134+BH134+BI134+BJ134</f>
        <v>66.8176</v>
      </c>
      <c r="BG134" s="232"/>
      <c r="BH134" s="232">
        <v>35.76011</v>
      </c>
      <c r="BI134" s="232"/>
      <c r="BJ134" s="232">
        <v>31.05749</v>
      </c>
      <c r="BK134" s="232">
        <f aca="true" t="shared" si="287" ref="BK134:BK147">BL134+BM134+BN134+BO134</f>
        <v>1335.5675999999999</v>
      </c>
      <c r="BL134" s="232">
        <f aca="true" t="shared" si="288" ref="BL134:BL147">AW134+BG134</f>
        <v>0</v>
      </c>
      <c r="BM134" s="232">
        <f aca="true" t="shared" si="289" ref="BM134:BM147">AX134+BH134</f>
        <v>715.1841099999999</v>
      </c>
      <c r="BN134" s="232">
        <f aca="true" t="shared" si="290" ref="BN134:BN147">AY134+BI134</f>
        <v>0</v>
      </c>
      <c r="BO134" s="232">
        <f aca="true" t="shared" si="291" ref="BO134:BO147">AZ134+BJ134</f>
        <v>620.38349</v>
      </c>
      <c r="BP134" s="316">
        <f aca="true" t="shared" si="292" ref="BP134:BP147">BQ134+BR134+BS134+BT134</f>
        <v>0</v>
      </c>
      <c r="BQ134" s="317">
        <f aca="true" t="shared" si="293" ref="BQ134:BQ147">AM134-AW134</f>
        <v>0</v>
      </c>
      <c r="BR134" s="317">
        <f aca="true" t="shared" si="294" ref="BR134:BR147">AN134-AX134</f>
        <v>0</v>
      </c>
      <c r="BS134" s="317">
        <f aca="true" t="shared" si="295" ref="BS134:BS147">AO134-AY134</f>
        <v>0</v>
      </c>
      <c r="BT134" s="317">
        <f aca="true" t="shared" si="296" ref="BT134:BT147">AP134-AZ134</f>
        <v>0</v>
      </c>
      <c r="BU134" s="229">
        <v>1</v>
      </c>
      <c r="BV134" s="305"/>
      <c r="BW134" s="331" t="s">
        <v>228</v>
      </c>
      <c r="BY134" s="232"/>
      <c r="BZ134" s="232">
        <v>1</v>
      </c>
      <c r="CA134" s="317"/>
      <c r="CB134" s="232"/>
      <c r="CC134" s="232"/>
    </row>
    <row r="135" spans="1:81" s="229" customFormat="1" ht="13.5" customHeight="1">
      <c r="A135" s="230">
        <v>104</v>
      </c>
      <c r="B135" s="239" t="s">
        <v>155</v>
      </c>
      <c r="C135" s="232">
        <f t="shared" si="272"/>
        <v>775.621</v>
      </c>
      <c r="D135" s="233"/>
      <c r="E135" s="232">
        <f t="shared" si="273"/>
        <v>775.621</v>
      </c>
      <c r="F135" s="233"/>
      <c r="G135" s="232"/>
      <c r="H135" s="232">
        <f t="shared" si="274"/>
        <v>1217.4828499999999</v>
      </c>
      <c r="I135" s="233"/>
      <c r="J135" s="232">
        <f t="shared" si="275"/>
        <v>775.621</v>
      </c>
      <c r="K135" s="232">
        <f t="shared" si="276"/>
        <v>441.86185</v>
      </c>
      <c r="L135" s="240"/>
      <c r="M135" s="232">
        <f t="shared" si="164"/>
        <v>775.621</v>
      </c>
      <c r="N135" s="232"/>
      <c r="O135" s="232">
        <v>415.303</v>
      </c>
      <c r="P135" s="232"/>
      <c r="Q135" s="232">
        <v>360.318</v>
      </c>
      <c r="R135" s="234">
        <f t="shared" si="277"/>
        <v>775.621</v>
      </c>
      <c r="S135" s="232"/>
      <c r="T135" s="232">
        <v>415.303</v>
      </c>
      <c r="U135" s="232"/>
      <c r="V135" s="235">
        <v>360.318</v>
      </c>
      <c r="W135" s="232">
        <f t="shared" si="278"/>
        <v>0</v>
      </c>
      <c r="X135" s="232">
        <f t="shared" si="279"/>
        <v>0</v>
      </c>
      <c r="Y135" s="232">
        <f t="shared" si="279"/>
        <v>0</v>
      </c>
      <c r="Z135" s="232">
        <f t="shared" si="279"/>
        <v>0</v>
      </c>
      <c r="AA135" s="232">
        <f t="shared" si="279"/>
        <v>0</v>
      </c>
      <c r="AB135" s="232">
        <f t="shared" si="280"/>
        <v>775.621</v>
      </c>
      <c r="AC135" s="232"/>
      <c r="AD135" s="232">
        <f aca="true" t="shared" si="297" ref="AD135:AF147">T135</f>
        <v>415.303</v>
      </c>
      <c r="AE135" s="232">
        <f t="shared" si="297"/>
        <v>0</v>
      </c>
      <c r="AF135" s="232">
        <f t="shared" si="297"/>
        <v>360.318</v>
      </c>
      <c r="AG135" s="232">
        <f t="shared" si="281"/>
        <v>0</v>
      </c>
      <c r="AH135" s="232"/>
      <c r="AI135" s="232"/>
      <c r="AJ135" s="232"/>
      <c r="AK135" s="236"/>
      <c r="AL135" s="234">
        <f t="shared" si="282"/>
        <v>775.621</v>
      </c>
      <c r="AM135" s="232"/>
      <c r="AN135" s="232">
        <f aca="true" t="shared" si="298" ref="AN135:AN147">AD135</f>
        <v>415.303</v>
      </c>
      <c r="AO135" s="232"/>
      <c r="AP135" s="235">
        <f aca="true" t="shared" si="299" ref="AP135:AP145">AF135</f>
        <v>360.318</v>
      </c>
      <c r="AQ135" s="232">
        <f t="shared" si="283"/>
        <v>415.303</v>
      </c>
      <c r="AR135" s="232"/>
      <c r="AS135" s="232">
        <v>415.303</v>
      </c>
      <c r="AT135" s="232"/>
      <c r="AU135" s="232"/>
      <c r="AV135" s="232">
        <f t="shared" si="284"/>
        <v>415.303</v>
      </c>
      <c r="AW135" s="232"/>
      <c r="AX135" s="232">
        <v>415.303</v>
      </c>
      <c r="AY135" s="232"/>
      <c r="AZ135" s="232"/>
      <c r="BA135" s="232">
        <f t="shared" si="285"/>
        <v>441.86185</v>
      </c>
      <c r="BB135" s="232"/>
      <c r="BC135" s="232">
        <v>441.86185</v>
      </c>
      <c r="BD135" s="232"/>
      <c r="BE135" s="232"/>
      <c r="BF135" s="232">
        <f t="shared" si="286"/>
        <v>441.86185</v>
      </c>
      <c r="BG135" s="232"/>
      <c r="BH135" s="232">
        <v>441.86185</v>
      </c>
      <c r="BI135" s="232"/>
      <c r="BJ135" s="232"/>
      <c r="BK135" s="232">
        <f t="shared" si="287"/>
        <v>857.16485</v>
      </c>
      <c r="BL135" s="232">
        <f t="shared" si="288"/>
        <v>0</v>
      </c>
      <c r="BM135" s="232">
        <f t="shared" si="289"/>
        <v>857.16485</v>
      </c>
      <c r="BN135" s="232">
        <f t="shared" si="290"/>
        <v>0</v>
      </c>
      <c r="BO135" s="232">
        <f t="shared" si="291"/>
        <v>0</v>
      </c>
      <c r="BP135" s="316">
        <f t="shared" si="292"/>
        <v>360.318</v>
      </c>
      <c r="BQ135" s="317">
        <f t="shared" si="293"/>
        <v>0</v>
      </c>
      <c r="BR135" s="317">
        <f t="shared" si="294"/>
        <v>0</v>
      </c>
      <c r="BS135" s="317">
        <f t="shared" si="295"/>
        <v>0</v>
      </c>
      <c r="BT135" s="317">
        <f t="shared" si="296"/>
        <v>360.318</v>
      </c>
      <c r="BV135" s="305">
        <v>1</v>
      </c>
      <c r="BW135" s="332" t="s">
        <v>229</v>
      </c>
      <c r="BY135" s="232"/>
      <c r="BZ135" s="232"/>
      <c r="CA135" s="317">
        <v>1</v>
      </c>
      <c r="CB135" s="232"/>
      <c r="CC135" s="232"/>
    </row>
    <row r="136" spans="1:81" s="229" customFormat="1" ht="15" customHeight="1">
      <c r="A136" s="230">
        <v>105</v>
      </c>
      <c r="B136" s="239" t="s">
        <v>156</v>
      </c>
      <c r="C136" s="232">
        <f t="shared" si="272"/>
        <v>934.5129999999999</v>
      </c>
      <c r="D136" s="233"/>
      <c r="E136" s="232">
        <f t="shared" si="273"/>
        <v>934.5129999999999</v>
      </c>
      <c r="F136" s="233"/>
      <c r="G136" s="232"/>
      <c r="H136" s="232">
        <f t="shared" si="274"/>
        <v>1701.743</v>
      </c>
      <c r="I136" s="233"/>
      <c r="J136" s="232">
        <f t="shared" si="275"/>
        <v>934.5129999999999</v>
      </c>
      <c r="K136" s="232">
        <f t="shared" si="276"/>
        <v>767.23</v>
      </c>
      <c r="L136" s="240"/>
      <c r="M136" s="232">
        <f t="shared" si="164"/>
        <v>934.5129999999999</v>
      </c>
      <c r="N136" s="232"/>
      <c r="O136" s="232">
        <v>500.381</v>
      </c>
      <c r="P136" s="232"/>
      <c r="Q136" s="232">
        <v>434.132</v>
      </c>
      <c r="R136" s="234">
        <f t="shared" si="277"/>
        <v>934.5129999999999</v>
      </c>
      <c r="S136" s="232"/>
      <c r="T136" s="232">
        <v>500.381</v>
      </c>
      <c r="U136" s="232"/>
      <c r="V136" s="235">
        <v>434.132</v>
      </c>
      <c r="W136" s="232">
        <f t="shared" si="278"/>
        <v>0</v>
      </c>
      <c r="X136" s="232">
        <f t="shared" si="279"/>
        <v>0</v>
      </c>
      <c r="Y136" s="232">
        <f t="shared" si="279"/>
        <v>0</v>
      </c>
      <c r="Z136" s="232">
        <f t="shared" si="279"/>
        <v>0</v>
      </c>
      <c r="AA136" s="232">
        <f t="shared" si="279"/>
        <v>0</v>
      </c>
      <c r="AB136" s="232">
        <f t="shared" si="280"/>
        <v>934.5129999999999</v>
      </c>
      <c r="AC136" s="232"/>
      <c r="AD136" s="232">
        <f t="shared" si="297"/>
        <v>500.381</v>
      </c>
      <c r="AE136" s="232">
        <f t="shared" si="297"/>
        <v>0</v>
      </c>
      <c r="AF136" s="232">
        <f t="shared" si="297"/>
        <v>434.132</v>
      </c>
      <c r="AG136" s="232">
        <f t="shared" si="281"/>
        <v>0</v>
      </c>
      <c r="AH136" s="232"/>
      <c r="AI136" s="232"/>
      <c r="AJ136" s="232"/>
      <c r="AK136" s="236"/>
      <c r="AL136" s="234">
        <f t="shared" si="282"/>
        <v>934.5129999999999</v>
      </c>
      <c r="AM136" s="232"/>
      <c r="AN136" s="232">
        <f t="shared" si="298"/>
        <v>500.381</v>
      </c>
      <c r="AO136" s="232"/>
      <c r="AP136" s="235">
        <f t="shared" si="299"/>
        <v>434.132</v>
      </c>
      <c r="AQ136" s="232">
        <f t="shared" si="283"/>
        <v>934.5129999999999</v>
      </c>
      <c r="AR136" s="232"/>
      <c r="AS136" s="232">
        <v>500.381</v>
      </c>
      <c r="AT136" s="232"/>
      <c r="AU136" s="232">
        <v>434.132</v>
      </c>
      <c r="AV136" s="232">
        <f t="shared" si="284"/>
        <v>934.5129999999999</v>
      </c>
      <c r="AW136" s="232"/>
      <c r="AX136" s="232">
        <v>500.381</v>
      </c>
      <c r="AY136" s="232"/>
      <c r="AZ136" s="232">
        <v>434.132</v>
      </c>
      <c r="BA136" s="232">
        <f t="shared" si="285"/>
        <v>767.23</v>
      </c>
      <c r="BB136" s="232"/>
      <c r="BC136" s="232">
        <v>306.828</v>
      </c>
      <c r="BD136" s="232"/>
      <c r="BE136" s="232">
        <v>460.402</v>
      </c>
      <c r="BF136" s="232">
        <f t="shared" si="286"/>
        <v>767.23</v>
      </c>
      <c r="BG136" s="232"/>
      <c r="BH136" s="232">
        <v>306.828</v>
      </c>
      <c r="BI136" s="232"/>
      <c r="BJ136" s="232">
        <v>460.402</v>
      </c>
      <c r="BK136" s="232">
        <f t="shared" si="287"/>
        <v>1701.743</v>
      </c>
      <c r="BL136" s="232">
        <f t="shared" si="288"/>
        <v>0</v>
      </c>
      <c r="BM136" s="232">
        <f t="shared" si="289"/>
        <v>807.209</v>
      </c>
      <c r="BN136" s="232">
        <f t="shared" si="290"/>
        <v>0</v>
      </c>
      <c r="BO136" s="232">
        <f t="shared" si="291"/>
        <v>894.534</v>
      </c>
      <c r="BP136" s="316">
        <f t="shared" si="292"/>
        <v>0</v>
      </c>
      <c r="BQ136" s="317">
        <f t="shared" si="293"/>
        <v>0</v>
      </c>
      <c r="BR136" s="317">
        <f t="shared" si="294"/>
        <v>0</v>
      </c>
      <c r="BS136" s="317">
        <f t="shared" si="295"/>
        <v>0</v>
      </c>
      <c r="BT136" s="317">
        <f t="shared" si="296"/>
        <v>0</v>
      </c>
      <c r="BU136" s="229">
        <v>1</v>
      </c>
      <c r="BV136" s="305"/>
      <c r="BW136" s="331" t="s">
        <v>228</v>
      </c>
      <c r="BY136" s="232"/>
      <c r="BZ136" s="232">
        <v>1</v>
      </c>
      <c r="CA136" s="317"/>
      <c r="CB136" s="232"/>
      <c r="CC136" s="232"/>
    </row>
    <row r="137" spans="1:81" s="229" customFormat="1" ht="20.25" customHeight="1">
      <c r="A137" s="230">
        <v>106</v>
      </c>
      <c r="B137" s="239" t="s">
        <v>157</v>
      </c>
      <c r="C137" s="232">
        <f t="shared" si="272"/>
        <v>4163.509</v>
      </c>
      <c r="D137" s="233"/>
      <c r="E137" s="232">
        <f t="shared" si="273"/>
        <v>4163.509</v>
      </c>
      <c r="F137" s="233"/>
      <c r="G137" s="232"/>
      <c r="H137" s="232">
        <f t="shared" si="274"/>
        <v>4389.466</v>
      </c>
      <c r="I137" s="233"/>
      <c r="J137" s="232">
        <f t="shared" si="275"/>
        <v>4163.509</v>
      </c>
      <c r="K137" s="232">
        <f t="shared" si="276"/>
        <v>225.957</v>
      </c>
      <c r="L137" s="240"/>
      <c r="M137" s="232">
        <f t="shared" si="164"/>
        <v>4163.509</v>
      </c>
      <c r="N137" s="232"/>
      <c r="O137" s="232">
        <f>2238.655-6.717</f>
        <v>2231.938</v>
      </c>
      <c r="P137" s="232"/>
      <c r="Q137" s="232">
        <f>1942.265-10.694</f>
        <v>1931.5710000000001</v>
      </c>
      <c r="R137" s="234">
        <f t="shared" si="277"/>
        <v>4163.509</v>
      </c>
      <c r="S137" s="232"/>
      <c r="T137" s="232">
        <v>2231.938</v>
      </c>
      <c r="U137" s="232"/>
      <c r="V137" s="235">
        <v>1931.571</v>
      </c>
      <c r="W137" s="232">
        <f t="shared" si="278"/>
        <v>0</v>
      </c>
      <c r="X137" s="232">
        <f t="shared" si="279"/>
        <v>0</v>
      </c>
      <c r="Y137" s="232">
        <f t="shared" si="279"/>
        <v>0</v>
      </c>
      <c r="Z137" s="232">
        <f t="shared" si="279"/>
        <v>0</v>
      </c>
      <c r="AA137" s="232">
        <f t="shared" si="279"/>
        <v>0</v>
      </c>
      <c r="AB137" s="232">
        <f t="shared" si="280"/>
        <v>4163.509</v>
      </c>
      <c r="AC137" s="232"/>
      <c r="AD137" s="232">
        <f t="shared" si="297"/>
        <v>2231.938</v>
      </c>
      <c r="AE137" s="232">
        <f t="shared" si="297"/>
        <v>0</v>
      </c>
      <c r="AF137" s="232">
        <f t="shared" si="297"/>
        <v>1931.571</v>
      </c>
      <c r="AG137" s="232">
        <f t="shared" si="281"/>
        <v>0</v>
      </c>
      <c r="AH137" s="232"/>
      <c r="AI137" s="232"/>
      <c r="AJ137" s="232"/>
      <c r="AK137" s="236"/>
      <c r="AL137" s="234">
        <f t="shared" si="282"/>
        <v>4163.509</v>
      </c>
      <c r="AM137" s="232"/>
      <c r="AN137" s="232">
        <f t="shared" si="298"/>
        <v>2231.938</v>
      </c>
      <c r="AO137" s="232"/>
      <c r="AP137" s="235">
        <f t="shared" si="299"/>
        <v>1931.571</v>
      </c>
      <c r="AQ137" s="232">
        <f t="shared" si="283"/>
        <v>4141.56167</v>
      </c>
      <c r="AR137" s="232"/>
      <c r="AS137" s="232">
        <f>2220.18506</f>
        <v>2220.18506</v>
      </c>
      <c r="AT137" s="232"/>
      <c r="AU137" s="232">
        <f>1921.37661</f>
        <v>1921.37661</v>
      </c>
      <c r="AV137" s="232">
        <f t="shared" si="284"/>
        <v>4141.56167</v>
      </c>
      <c r="AW137" s="232"/>
      <c r="AX137" s="232">
        <f>2220.18506</f>
        <v>2220.18506</v>
      </c>
      <c r="AY137" s="232"/>
      <c r="AZ137" s="232">
        <f>1921.37661</f>
        <v>1921.37661</v>
      </c>
      <c r="BA137" s="232">
        <f t="shared" si="285"/>
        <v>225.957</v>
      </c>
      <c r="BB137" s="232"/>
      <c r="BC137" s="232">
        <v>118.65</v>
      </c>
      <c r="BD137" s="232"/>
      <c r="BE137" s="232">
        <v>107.307</v>
      </c>
      <c r="BF137" s="232">
        <f t="shared" si="286"/>
        <v>225.957</v>
      </c>
      <c r="BG137" s="232"/>
      <c r="BH137" s="232">
        <v>118.65</v>
      </c>
      <c r="BI137" s="232"/>
      <c r="BJ137" s="232">
        <v>107.307</v>
      </c>
      <c r="BK137" s="232">
        <f t="shared" si="287"/>
        <v>4367.5186699999995</v>
      </c>
      <c r="BL137" s="232">
        <f t="shared" si="288"/>
        <v>0</v>
      </c>
      <c r="BM137" s="232">
        <f t="shared" si="289"/>
        <v>2338.83506</v>
      </c>
      <c r="BN137" s="232">
        <f t="shared" si="290"/>
        <v>0</v>
      </c>
      <c r="BO137" s="232">
        <f t="shared" si="291"/>
        <v>2028.68361</v>
      </c>
      <c r="BP137" s="316">
        <f t="shared" si="292"/>
        <v>21.947330000000193</v>
      </c>
      <c r="BQ137" s="317">
        <f t="shared" si="293"/>
        <v>0</v>
      </c>
      <c r="BR137" s="317">
        <f t="shared" si="294"/>
        <v>11.752940000000308</v>
      </c>
      <c r="BS137" s="317">
        <f t="shared" si="295"/>
        <v>0</v>
      </c>
      <c r="BT137" s="317">
        <f t="shared" si="296"/>
        <v>10.194389999999885</v>
      </c>
      <c r="BU137" s="229">
        <v>1</v>
      </c>
      <c r="BV137" s="305"/>
      <c r="BW137" s="331" t="s">
        <v>241</v>
      </c>
      <c r="BY137" s="232">
        <v>21.9</v>
      </c>
      <c r="BZ137" s="232">
        <v>1</v>
      </c>
      <c r="CA137" s="317"/>
      <c r="CB137" s="232"/>
      <c r="CC137" s="232"/>
    </row>
    <row r="138" spans="1:81" s="229" customFormat="1" ht="20.25" customHeight="1">
      <c r="A138" s="230">
        <v>107</v>
      </c>
      <c r="B138" s="239" t="s">
        <v>158</v>
      </c>
      <c r="C138" s="232">
        <f t="shared" si="272"/>
        <v>16211.313</v>
      </c>
      <c r="D138" s="233"/>
      <c r="E138" s="232">
        <f t="shared" si="273"/>
        <v>16211.313</v>
      </c>
      <c r="F138" s="233"/>
      <c r="G138" s="232"/>
      <c r="H138" s="232">
        <f t="shared" si="274"/>
        <v>17118.7967</v>
      </c>
      <c r="I138" s="233"/>
      <c r="J138" s="232">
        <f t="shared" si="275"/>
        <v>16211.313</v>
      </c>
      <c r="K138" s="232">
        <f t="shared" si="276"/>
        <v>907.4837</v>
      </c>
      <c r="L138" s="240"/>
      <c r="M138" s="232">
        <f t="shared" si="164"/>
        <v>16211.313</v>
      </c>
      <c r="N138" s="232"/>
      <c r="O138" s="232">
        <v>16211.313</v>
      </c>
      <c r="P138" s="232"/>
      <c r="Q138" s="232"/>
      <c r="R138" s="234">
        <f t="shared" si="277"/>
        <v>16211.313</v>
      </c>
      <c r="S138" s="232"/>
      <c r="T138" s="232">
        <v>16211.313</v>
      </c>
      <c r="U138" s="232"/>
      <c r="V138" s="235"/>
      <c r="W138" s="232">
        <f t="shared" si="278"/>
        <v>0</v>
      </c>
      <c r="X138" s="232">
        <f t="shared" si="279"/>
        <v>0</v>
      </c>
      <c r="Y138" s="232">
        <f t="shared" si="279"/>
        <v>0</v>
      </c>
      <c r="Z138" s="232">
        <f t="shared" si="279"/>
        <v>0</v>
      </c>
      <c r="AA138" s="232">
        <f t="shared" si="279"/>
        <v>0</v>
      </c>
      <c r="AB138" s="232">
        <f t="shared" si="280"/>
        <v>16211.313</v>
      </c>
      <c r="AC138" s="232"/>
      <c r="AD138" s="232">
        <f t="shared" si="297"/>
        <v>16211.313</v>
      </c>
      <c r="AE138" s="232">
        <f t="shared" si="297"/>
        <v>0</v>
      </c>
      <c r="AF138" s="232">
        <f t="shared" si="297"/>
        <v>0</v>
      </c>
      <c r="AG138" s="232">
        <f t="shared" si="281"/>
        <v>0</v>
      </c>
      <c r="AH138" s="232"/>
      <c r="AI138" s="232"/>
      <c r="AJ138" s="232"/>
      <c r="AK138" s="236"/>
      <c r="AL138" s="234">
        <f t="shared" si="282"/>
        <v>16211.313</v>
      </c>
      <c r="AM138" s="232"/>
      <c r="AN138" s="232">
        <f t="shared" si="298"/>
        <v>16211.313</v>
      </c>
      <c r="AO138" s="232"/>
      <c r="AP138" s="235"/>
      <c r="AQ138" s="232">
        <f t="shared" si="283"/>
        <v>14137.72944</v>
      </c>
      <c r="AR138" s="232"/>
      <c r="AS138" s="232">
        <v>14137.72944</v>
      </c>
      <c r="AT138" s="232"/>
      <c r="AU138" s="232"/>
      <c r="AV138" s="232">
        <f t="shared" si="284"/>
        <v>14137.72944</v>
      </c>
      <c r="AW138" s="232"/>
      <c r="AX138" s="232">
        <v>14137.72944</v>
      </c>
      <c r="AY138" s="232"/>
      <c r="AZ138" s="232"/>
      <c r="BA138" s="232">
        <f t="shared" si="285"/>
        <v>907.4837</v>
      </c>
      <c r="BB138" s="232"/>
      <c r="BC138" s="232">
        <v>907.4837</v>
      </c>
      <c r="BD138" s="232"/>
      <c r="BE138" s="232"/>
      <c r="BF138" s="232">
        <f t="shared" si="286"/>
        <v>907.4837</v>
      </c>
      <c r="BG138" s="232"/>
      <c r="BH138" s="232">
        <v>907.4837</v>
      </c>
      <c r="BI138" s="232"/>
      <c r="BJ138" s="232"/>
      <c r="BK138" s="232">
        <f t="shared" si="287"/>
        <v>15045.21314</v>
      </c>
      <c r="BL138" s="232">
        <f t="shared" si="288"/>
        <v>0</v>
      </c>
      <c r="BM138" s="232">
        <f t="shared" si="289"/>
        <v>15045.21314</v>
      </c>
      <c r="BN138" s="232">
        <f t="shared" si="290"/>
        <v>0</v>
      </c>
      <c r="BO138" s="232">
        <f t="shared" si="291"/>
        <v>0</v>
      </c>
      <c r="BP138" s="316">
        <f t="shared" si="292"/>
        <v>2073.583560000001</v>
      </c>
      <c r="BQ138" s="317">
        <f t="shared" si="293"/>
        <v>0</v>
      </c>
      <c r="BR138" s="317">
        <f t="shared" si="294"/>
        <v>2073.583560000001</v>
      </c>
      <c r="BS138" s="317">
        <f t="shared" si="295"/>
        <v>0</v>
      </c>
      <c r="BT138" s="317">
        <f t="shared" si="296"/>
        <v>0</v>
      </c>
      <c r="BU138" s="229">
        <v>1</v>
      </c>
      <c r="BV138" s="305"/>
      <c r="BW138" s="331" t="s">
        <v>242</v>
      </c>
      <c r="BY138" s="232">
        <v>2037.6</v>
      </c>
      <c r="BZ138" s="232">
        <v>1</v>
      </c>
      <c r="CA138" s="317"/>
      <c r="CB138" s="232"/>
      <c r="CC138" s="232"/>
    </row>
    <row r="139" spans="1:81" s="229" customFormat="1" ht="20.25" customHeight="1">
      <c r="A139" s="230">
        <v>108</v>
      </c>
      <c r="B139" s="239" t="s">
        <v>159</v>
      </c>
      <c r="C139" s="232">
        <f t="shared" si="272"/>
        <v>4584.036</v>
      </c>
      <c r="D139" s="233"/>
      <c r="E139" s="232">
        <f t="shared" si="273"/>
        <v>4584.036</v>
      </c>
      <c r="F139" s="233"/>
      <c r="G139" s="232"/>
      <c r="H139" s="232">
        <f t="shared" si="274"/>
        <v>5483.67138</v>
      </c>
      <c r="I139" s="233"/>
      <c r="J139" s="232">
        <f t="shared" si="275"/>
        <v>4584.036</v>
      </c>
      <c r="K139" s="232">
        <f t="shared" si="276"/>
        <v>899.63538</v>
      </c>
      <c r="L139" s="240"/>
      <c r="M139" s="232">
        <f t="shared" si="164"/>
        <v>4584.036</v>
      </c>
      <c r="N139" s="232"/>
      <c r="O139" s="232">
        <v>4584.036</v>
      </c>
      <c r="P139" s="232"/>
      <c r="Q139" s="232"/>
      <c r="R139" s="234">
        <f t="shared" si="277"/>
        <v>4584.036</v>
      </c>
      <c r="S139" s="232"/>
      <c r="T139" s="232">
        <v>4584.036</v>
      </c>
      <c r="U139" s="232"/>
      <c r="V139" s="235"/>
      <c r="W139" s="232">
        <f t="shared" si="278"/>
        <v>0</v>
      </c>
      <c r="X139" s="232">
        <f t="shared" si="279"/>
        <v>0</v>
      </c>
      <c r="Y139" s="232">
        <f t="shared" si="279"/>
        <v>0</v>
      </c>
      <c r="Z139" s="232">
        <f t="shared" si="279"/>
        <v>0</v>
      </c>
      <c r="AA139" s="232">
        <f t="shared" si="279"/>
        <v>0</v>
      </c>
      <c r="AB139" s="232">
        <f t="shared" si="280"/>
        <v>4584.036</v>
      </c>
      <c r="AC139" s="232"/>
      <c r="AD139" s="232">
        <f t="shared" si="297"/>
        <v>4584.036</v>
      </c>
      <c r="AE139" s="232">
        <f t="shared" si="297"/>
        <v>0</v>
      </c>
      <c r="AF139" s="232">
        <f t="shared" si="297"/>
        <v>0</v>
      </c>
      <c r="AG139" s="232">
        <f t="shared" si="281"/>
        <v>0</v>
      </c>
      <c r="AH139" s="232"/>
      <c r="AI139" s="232"/>
      <c r="AJ139" s="232"/>
      <c r="AK139" s="236"/>
      <c r="AL139" s="234">
        <f t="shared" si="282"/>
        <v>4584.036</v>
      </c>
      <c r="AM139" s="232"/>
      <c r="AN139" s="232">
        <f t="shared" si="298"/>
        <v>4584.036</v>
      </c>
      <c r="AO139" s="232"/>
      <c r="AP139" s="235"/>
      <c r="AQ139" s="232">
        <f t="shared" si="283"/>
        <v>4556.61726</v>
      </c>
      <c r="AR139" s="232"/>
      <c r="AS139" s="232">
        <f>2353.06989+2203.54737</f>
        <v>4556.61726</v>
      </c>
      <c r="AT139" s="232"/>
      <c r="AU139" s="232"/>
      <c r="AV139" s="232">
        <f t="shared" si="284"/>
        <v>4556.61726</v>
      </c>
      <c r="AW139" s="232"/>
      <c r="AX139" s="232">
        <f>2353.06989+2203.54737</f>
        <v>4556.61726</v>
      </c>
      <c r="AY139" s="232"/>
      <c r="AZ139" s="232"/>
      <c r="BA139" s="232">
        <f t="shared" si="285"/>
        <v>899.63538</v>
      </c>
      <c r="BB139" s="232"/>
      <c r="BC139" s="232">
        <v>899.63538</v>
      </c>
      <c r="BD139" s="232"/>
      <c r="BE139" s="232"/>
      <c r="BF139" s="232">
        <f t="shared" si="286"/>
        <v>899.63538</v>
      </c>
      <c r="BG139" s="232"/>
      <c r="BH139" s="232">
        <v>899.63538</v>
      </c>
      <c r="BI139" s="232"/>
      <c r="BJ139" s="232"/>
      <c r="BK139" s="232">
        <f t="shared" si="287"/>
        <v>5456.25264</v>
      </c>
      <c r="BL139" s="232">
        <f t="shared" si="288"/>
        <v>0</v>
      </c>
      <c r="BM139" s="232">
        <f t="shared" si="289"/>
        <v>5456.25264</v>
      </c>
      <c r="BN139" s="232">
        <f t="shared" si="290"/>
        <v>0</v>
      </c>
      <c r="BO139" s="232">
        <f t="shared" si="291"/>
        <v>0</v>
      </c>
      <c r="BP139" s="316">
        <f t="shared" si="292"/>
        <v>27.41874000000007</v>
      </c>
      <c r="BQ139" s="317">
        <f t="shared" si="293"/>
        <v>0</v>
      </c>
      <c r="BR139" s="317">
        <f t="shared" si="294"/>
        <v>27.41874000000007</v>
      </c>
      <c r="BS139" s="317">
        <f t="shared" si="295"/>
        <v>0</v>
      </c>
      <c r="BT139" s="317">
        <f t="shared" si="296"/>
        <v>0</v>
      </c>
      <c r="BU139" s="229">
        <v>1</v>
      </c>
      <c r="BV139" s="305"/>
      <c r="BW139" s="331" t="s">
        <v>243</v>
      </c>
      <c r="BY139" s="232">
        <v>27.4</v>
      </c>
      <c r="BZ139" s="232">
        <v>1</v>
      </c>
      <c r="CA139" s="317"/>
      <c r="CB139" s="232"/>
      <c r="CC139" s="232"/>
    </row>
    <row r="140" spans="1:81" s="229" customFormat="1" ht="21.75" customHeight="1">
      <c r="A140" s="230">
        <v>109</v>
      </c>
      <c r="B140" s="239" t="s">
        <v>160</v>
      </c>
      <c r="C140" s="232">
        <f t="shared" si="272"/>
        <v>1472.7939999999999</v>
      </c>
      <c r="D140" s="233"/>
      <c r="E140" s="232">
        <f t="shared" si="273"/>
        <v>1472.7939999999999</v>
      </c>
      <c r="F140" s="233"/>
      <c r="G140" s="232"/>
      <c r="H140" s="232">
        <f t="shared" si="274"/>
        <v>1551.54825</v>
      </c>
      <c r="I140" s="233"/>
      <c r="J140" s="232">
        <f t="shared" si="275"/>
        <v>1472.794</v>
      </c>
      <c r="K140" s="232">
        <f t="shared" si="276"/>
        <v>78.75425</v>
      </c>
      <c r="L140" s="240"/>
      <c r="M140" s="232">
        <f t="shared" si="164"/>
        <v>1472.7939999999999</v>
      </c>
      <c r="N140" s="232"/>
      <c r="O140" s="232">
        <f>1478.042-5.248</f>
        <v>1472.7939999999999</v>
      </c>
      <c r="P140" s="232"/>
      <c r="Q140" s="232"/>
      <c r="R140" s="234">
        <f t="shared" si="277"/>
        <v>1472.794</v>
      </c>
      <c r="S140" s="232"/>
      <c r="T140" s="232">
        <v>1472.794</v>
      </c>
      <c r="U140" s="232"/>
      <c r="V140" s="235"/>
      <c r="W140" s="232">
        <f t="shared" si="278"/>
        <v>0</v>
      </c>
      <c r="X140" s="232">
        <f t="shared" si="279"/>
        <v>0</v>
      </c>
      <c r="Y140" s="232">
        <f t="shared" si="279"/>
        <v>0</v>
      </c>
      <c r="Z140" s="232">
        <f t="shared" si="279"/>
        <v>0</v>
      </c>
      <c r="AA140" s="232">
        <f t="shared" si="279"/>
        <v>0</v>
      </c>
      <c r="AB140" s="232">
        <f t="shared" si="280"/>
        <v>1472.794</v>
      </c>
      <c r="AC140" s="232"/>
      <c r="AD140" s="232">
        <f t="shared" si="297"/>
        <v>1472.794</v>
      </c>
      <c r="AE140" s="232">
        <f t="shared" si="297"/>
        <v>0</v>
      </c>
      <c r="AF140" s="232">
        <f t="shared" si="297"/>
        <v>0</v>
      </c>
      <c r="AG140" s="232">
        <f t="shared" si="281"/>
        <v>0</v>
      </c>
      <c r="AH140" s="232"/>
      <c r="AI140" s="232"/>
      <c r="AJ140" s="232"/>
      <c r="AK140" s="236"/>
      <c r="AL140" s="234">
        <f t="shared" si="282"/>
        <v>1472.794</v>
      </c>
      <c r="AM140" s="232"/>
      <c r="AN140" s="232">
        <f t="shared" si="298"/>
        <v>1472.794</v>
      </c>
      <c r="AO140" s="232"/>
      <c r="AP140" s="235"/>
      <c r="AQ140" s="232">
        <f t="shared" si="283"/>
        <v>1465.43003</v>
      </c>
      <c r="AR140" s="232"/>
      <c r="AS140" s="232">
        <f>1465.43003</f>
        <v>1465.43003</v>
      </c>
      <c r="AT140" s="232"/>
      <c r="AU140" s="232"/>
      <c r="AV140" s="232">
        <f t="shared" si="284"/>
        <v>1465.43003</v>
      </c>
      <c r="AW140" s="232"/>
      <c r="AX140" s="232">
        <f>1465.43003</f>
        <v>1465.43003</v>
      </c>
      <c r="AY140" s="232"/>
      <c r="AZ140" s="232"/>
      <c r="BA140" s="232">
        <f t="shared" si="285"/>
        <v>78.75425</v>
      </c>
      <c r="BB140" s="232"/>
      <c r="BC140" s="232">
        <v>78.75425</v>
      </c>
      <c r="BD140" s="232"/>
      <c r="BE140" s="232"/>
      <c r="BF140" s="232">
        <f t="shared" si="286"/>
        <v>78.75425</v>
      </c>
      <c r="BG140" s="232"/>
      <c r="BH140" s="232">
        <v>78.75425</v>
      </c>
      <c r="BI140" s="232"/>
      <c r="BJ140" s="232"/>
      <c r="BK140" s="232">
        <f t="shared" si="287"/>
        <v>1544.18428</v>
      </c>
      <c r="BL140" s="232">
        <f t="shared" si="288"/>
        <v>0</v>
      </c>
      <c r="BM140" s="232">
        <f t="shared" si="289"/>
        <v>1544.18428</v>
      </c>
      <c r="BN140" s="232">
        <f t="shared" si="290"/>
        <v>0</v>
      </c>
      <c r="BO140" s="232">
        <f t="shared" si="291"/>
        <v>0</v>
      </c>
      <c r="BP140" s="316">
        <f t="shared" si="292"/>
        <v>7.3639700000001085</v>
      </c>
      <c r="BQ140" s="317">
        <f t="shared" si="293"/>
        <v>0</v>
      </c>
      <c r="BR140" s="317">
        <f t="shared" si="294"/>
        <v>7.3639700000001085</v>
      </c>
      <c r="BS140" s="317">
        <f t="shared" si="295"/>
        <v>0</v>
      </c>
      <c r="BT140" s="317">
        <f t="shared" si="296"/>
        <v>0</v>
      </c>
      <c r="BU140" s="229">
        <v>1</v>
      </c>
      <c r="BV140" s="305"/>
      <c r="BW140" s="331" t="s">
        <v>244</v>
      </c>
      <c r="BY140" s="232">
        <v>7.4</v>
      </c>
      <c r="BZ140" s="232">
        <v>1</v>
      </c>
      <c r="CA140" s="317"/>
      <c r="CB140" s="232"/>
      <c r="CC140" s="232"/>
    </row>
    <row r="141" spans="1:81" s="229" customFormat="1" ht="20.25" customHeight="1">
      <c r="A141" s="230">
        <v>110</v>
      </c>
      <c r="B141" s="239" t="s">
        <v>161</v>
      </c>
      <c r="C141" s="232">
        <f t="shared" si="272"/>
        <v>2981.172</v>
      </c>
      <c r="D141" s="233"/>
      <c r="E141" s="232">
        <f t="shared" si="273"/>
        <v>2981.172</v>
      </c>
      <c r="F141" s="233"/>
      <c r="G141" s="232"/>
      <c r="H141" s="232">
        <f t="shared" si="274"/>
        <v>3128.43197</v>
      </c>
      <c r="I141" s="233"/>
      <c r="J141" s="232">
        <f t="shared" si="275"/>
        <v>2981.172</v>
      </c>
      <c r="K141" s="232">
        <f t="shared" si="276"/>
        <v>147.25997</v>
      </c>
      <c r="L141" s="240"/>
      <c r="M141" s="232">
        <f t="shared" si="164"/>
        <v>2981.172</v>
      </c>
      <c r="N141" s="232"/>
      <c r="O141" s="232">
        <v>1596.255</v>
      </c>
      <c r="P141" s="232"/>
      <c r="Q141" s="232">
        <v>1384.917</v>
      </c>
      <c r="R141" s="234">
        <f t="shared" si="277"/>
        <v>2981.172</v>
      </c>
      <c r="S141" s="232"/>
      <c r="T141" s="232">
        <v>1596.255</v>
      </c>
      <c r="U141" s="232"/>
      <c r="V141" s="235">
        <v>1384.917</v>
      </c>
      <c r="W141" s="232">
        <f t="shared" si="278"/>
        <v>0</v>
      </c>
      <c r="X141" s="232">
        <f t="shared" si="279"/>
        <v>0</v>
      </c>
      <c r="Y141" s="232">
        <f t="shared" si="279"/>
        <v>0</v>
      </c>
      <c r="Z141" s="232">
        <f t="shared" si="279"/>
        <v>0</v>
      </c>
      <c r="AA141" s="232">
        <f t="shared" si="279"/>
        <v>0</v>
      </c>
      <c r="AB141" s="232">
        <f t="shared" si="280"/>
        <v>2981.172</v>
      </c>
      <c r="AC141" s="232"/>
      <c r="AD141" s="232">
        <f t="shared" si="297"/>
        <v>1596.255</v>
      </c>
      <c r="AE141" s="232">
        <f t="shared" si="297"/>
        <v>0</v>
      </c>
      <c r="AF141" s="232">
        <f t="shared" si="297"/>
        <v>1384.917</v>
      </c>
      <c r="AG141" s="232">
        <f t="shared" si="281"/>
        <v>0</v>
      </c>
      <c r="AH141" s="232"/>
      <c r="AI141" s="232"/>
      <c r="AJ141" s="232"/>
      <c r="AK141" s="236"/>
      <c r="AL141" s="234">
        <f t="shared" si="282"/>
        <v>2981.172</v>
      </c>
      <c r="AM141" s="232"/>
      <c r="AN141" s="232">
        <f t="shared" si="298"/>
        <v>1596.255</v>
      </c>
      <c r="AO141" s="232"/>
      <c r="AP141" s="235">
        <f t="shared" si="299"/>
        <v>1384.917</v>
      </c>
      <c r="AQ141" s="232">
        <f t="shared" si="283"/>
        <v>2702.50411</v>
      </c>
      <c r="AR141" s="232"/>
      <c r="AS141" s="232">
        <f>1324.89149</f>
        <v>1324.89149</v>
      </c>
      <c r="AT141" s="232"/>
      <c r="AU141" s="232">
        <f>1377.61262</f>
        <v>1377.61262</v>
      </c>
      <c r="AV141" s="232">
        <f t="shared" si="284"/>
        <v>2702.50411</v>
      </c>
      <c r="AW141" s="232"/>
      <c r="AX141" s="232">
        <f>1324.89149</f>
        <v>1324.89149</v>
      </c>
      <c r="AY141" s="232"/>
      <c r="AZ141" s="232">
        <f>1377.61262</f>
        <v>1377.61262</v>
      </c>
      <c r="BA141" s="232">
        <f t="shared" si="285"/>
        <v>147.25997</v>
      </c>
      <c r="BB141" s="232"/>
      <c r="BC141" s="232">
        <v>71.30197</v>
      </c>
      <c r="BD141" s="232"/>
      <c r="BE141" s="232">
        <v>75.958</v>
      </c>
      <c r="BF141" s="232">
        <f t="shared" si="286"/>
        <v>147.25997</v>
      </c>
      <c r="BG141" s="232"/>
      <c r="BH141" s="232">
        <v>71.30197</v>
      </c>
      <c r="BI141" s="232"/>
      <c r="BJ141" s="232">
        <v>75.958</v>
      </c>
      <c r="BK141" s="232">
        <f t="shared" si="287"/>
        <v>2849.76408</v>
      </c>
      <c r="BL141" s="232">
        <f t="shared" si="288"/>
        <v>0</v>
      </c>
      <c r="BM141" s="232">
        <f t="shared" si="289"/>
        <v>1396.19346</v>
      </c>
      <c r="BN141" s="232">
        <f t="shared" si="290"/>
        <v>0</v>
      </c>
      <c r="BO141" s="232">
        <f t="shared" si="291"/>
        <v>1453.5706200000002</v>
      </c>
      <c r="BP141" s="316">
        <f t="shared" si="292"/>
        <v>278.66788999999994</v>
      </c>
      <c r="BQ141" s="317">
        <f t="shared" si="293"/>
        <v>0</v>
      </c>
      <c r="BR141" s="317">
        <f t="shared" si="294"/>
        <v>271.36351000000013</v>
      </c>
      <c r="BS141" s="317">
        <f t="shared" si="295"/>
        <v>0</v>
      </c>
      <c r="BT141" s="317">
        <f t="shared" si="296"/>
        <v>7.30437999999981</v>
      </c>
      <c r="BU141" s="229">
        <v>1</v>
      </c>
      <c r="BV141" s="305"/>
      <c r="BW141" s="331" t="s">
        <v>245</v>
      </c>
      <c r="BY141" s="232">
        <v>278.7</v>
      </c>
      <c r="BZ141" s="232">
        <v>1</v>
      </c>
      <c r="CA141" s="317"/>
      <c r="CB141" s="232"/>
      <c r="CC141" s="232"/>
    </row>
    <row r="142" spans="1:81" s="229" customFormat="1" ht="15" customHeight="1">
      <c r="A142" s="230">
        <v>111</v>
      </c>
      <c r="B142" s="239" t="s">
        <v>162</v>
      </c>
      <c r="C142" s="232">
        <f t="shared" si="272"/>
        <v>1317.913</v>
      </c>
      <c r="D142" s="233"/>
      <c r="E142" s="232">
        <f t="shared" si="273"/>
        <v>1317.913</v>
      </c>
      <c r="F142" s="233"/>
      <c r="G142" s="232"/>
      <c r="H142" s="232">
        <f t="shared" si="274"/>
        <v>1496.46407</v>
      </c>
      <c r="I142" s="233"/>
      <c r="J142" s="232">
        <f t="shared" si="275"/>
        <v>967.913</v>
      </c>
      <c r="K142" s="232">
        <f t="shared" si="276"/>
        <v>528.55107</v>
      </c>
      <c r="L142" s="240"/>
      <c r="M142" s="232">
        <f aca="true" t="shared" si="300" ref="M142:M194">N142+O142+P142+Q142</f>
        <v>1317.913</v>
      </c>
      <c r="N142" s="232"/>
      <c r="O142" s="232">
        <v>518.265</v>
      </c>
      <c r="P142" s="232"/>
      <c r="Q142" s="232">
        <f>449.648+350</f>
        <v>799.648</v>
      </c>
      <c r="R142" s="234">
        <f t="shared" si="277"/>
        <v>967.913</v>
      </c>
      <c r="S142" s="232"/>
      <c r="T142" s="232">
        <v>518.265</v>
      </c>
      <c r="U142" s="232"/>
      <c r="V142" s="235">
        <v>449.648</v>
      </c>
      <c r="W142" s="232">
        <f t="shared" si="278"/>
        <v>350</v>
      </c>
      <c r="X142" s="232">
        <f t="shared" si="279"/>
        <v>0</v>
      </c>
      <c r="Y142" s="232">
        <f t="shared" si="279"/>
        <v>0</v>
      </c>
      <c r="Z142" s="232">
        <f t="shared" si="279"/>
        <v>0</v>
      </c>
      <c r="AA142" s="232">
        <f t="shared" si="279"/>
        <v>350</v>
      </c>
      <c r="AB142" s="232">
        <f t="shared" si="280"/>
        <v>967.913</v>
      </c>
      <c r="AC142" s="232"/>
      <c r="AD142" s="232">
        <f t="shared" si="297"/>
        <v>518.265</v>
      </c>
      <c r="AE142" s="232">
        <f t="shared" si="297"/>
        <v>0</v>
      </c>
      <c r="AF142" s="232">
        <f t="shared" si="297"/>
        <v>449.648</v>
      </c>
      <c r="AG142" s="232">
        <f t="shared" si="281"/>
        <v>0</v>
      </c>
      <c r="AH142" s="232"/>
      <c r="AI142" s="232"/>
      <c r="AJ142" s="232"/>
      <c r="AK142" s="236"/>
      <c r="AL142" s="234">
        <f t="shared" si="282"/>
        <v>967.913</v>
      </c>
      <c r="AM142" s="232"/>
      <c r="AN142" s="232">
        <f t="shared" si="298"/>
        <v>518.265</v>
      </c>
      <c r="AO142" s="232"/>
      <c r="AP142" s="235">
        <f t="shared" si="299"/>
        <v>449.648</v>
      </c>
      <c r="AQ142" s="232">
        <f t="shared" si="283"/>
        <v>967.913</v>
      </c>
      <c r="AR142" s="232"/>
      <c r="AS142" s="232">
        <v>518.265</v>
      </c>
      <c r="AT142" s="232"/>
      <c r="AU142" s="232">
        <v>449.648</v>
      </c>
      <c r="AV142" s="232">
        <f t="shared" si="284"/>
        <v>967.913</v>
      </c>
      <c r="AW142" s="232"/>
      <c r="AX142" s="232">
        <v>518.265</v>
      </c>
      <c r="AY142" s="232"/>
      <c r="AZ142" s="232">
        <v>449.648</v>
      </c>
      <c r="BA142" s="232">
        <f t="shared" si="285"/>
        <v>528.55107</v>
      </c>
      <c r="BB142" s="232"/>
      <c r="BC142" s="232">
        <v>74.00974</v>
      </c>
      <c r="BD142" s="232"/>
      <c r="BE142" s="232">
        <v>454.54133</v>
      </c>
      <c r="BF142" s="232">
        <f t="shared" si="286"/>
        <v>528.55107</v>
      </c>
      <c r="BG142" s="232"/>
      <c r="BH142" s="232">
        <v>74.00974</v>
      </c>
      <c r="BI142" s="232"/>
      <c r="BJ142" s="232">
        <v>454.54133</v>
      </c>
      <c r="BK142" s="232">
        <f t="shared" si="287"/>
        <v>1496.46407</v>
      </c>
      <c r="BL142" s="232">
        <f t="shared" si="288"/>
        <v>0</v>
      </c>
      <c r="BM142" s="232">
        <f t="shared" si="289"/>
        <v>592.27474</v>
      </c>
      <c r="BN142" s="232">
        <f t="shared" si="290"/>
        <v>0</v>
      </c>
      <c r="BO142" s="232">
        <f t="shared" si="291"/>
        <v>904.18933</v>
      </c>
      <c r="BP142" s="316">
        <f t="shared" si="292"/>
        <v>0</v>
      </c>
      <c r="BQ142" s="317">
        <f t="shared" si="293"/>
        <v>0</v>
      </c>
      <c r="BR142" s="317">
        <f t="shared" si="294"/>
        <v>0</v>
      </c>
      <c r="BS142" s="317">
        <f t="shared" si="295"/>
        <v>0</v>
      </c>
      <c r="BT142" s="317">
        <f t="shared" si="296"/>
        <v>0</v>
      </c>
      <c r="BU142" s="229">
        <v>1</v>
      </c>
      <c r="BV142" s="305"/>
      <c r="BW142" s="331" t="s">
        <v>228</v>
      </c>
      <c r="BY142" s="232"/>
      <c r="BZ142" s="232">
        <v>1</v>
      </c>
      <c r="CA142" s="317"/>
      <c r="CB142" s="232"/>
      <c r="CC142" s="232"/>
    </row>
    <row r="143" spans="1:81" s="229" customFormat="1" ht="20.25" customHeight="1">
      <c r="A143" s="230">
        <v>112</v>
      </c>
      <c r="B143" s="239" t="s">
        <v>163</v>
      </c>
      <c r="C143" s="232">
        <f t="shared" si="272"/>
        <v>1189.991</v>
      </c>
      <c r="D143" s="233"/>
      <c r="E143" s="232">
        <f t="shared" si="273"/>
        <v>1189.991</v>
      </c>
      <c r="F143" s="233"/>
      <c r="G143" s="232"/>
      <c r="H143" s="232">
        <f t="shared" si="274"/>
        <v>2710.6889499999997</v>
      </c>
      <c r="I143" s="233"/>
      <c r="J143" s="232">
        <f t="shared" si="275"/>
        <v>1189.991</v>
      </c>
      <c r="K143" s="232">
        <f t="shared" si="276"/>
        <v>1520.69795</v>
      </c>
      <c r="L143" s="240"/>
      <c r="M143" s="232">
        <f t="shared" si="300"/>
        <v>1189.991</v>
      </c>
      <c r="N143" s="232"/>
      <c r="O143" s="232">
        <v>1089.991</v>
      </c>
      <c r="P143" s="232"/>
      <c r="Q143" s="232">
        <v>100</v>
      </c>
      <c r="R143" s="234">
        <f t="shared" si="277"/>
        <v>1189.991</v>
      </c>
      <c r="S143" s="232"/>
      <c r="T143" s="232">
        <v>1089.991</v>
      </c>
      <c r="U143" s="232"/>
      <c r="V143" s="235">
        <v>100</v>
      </c>
      <c r="W143" s="232">
        <f t="shared" si="278"/>
        <v>0</v>
      </c>
      <c r="X143" s="232">
        <f t="shared" si="279"/>
        <v>0</v>
      </c>
      <c r="Y143" s="232">
        <f t="shared" si="279"/>
        <v>0</v>
      </c>
      <c r="Z143" s="232">
        <f t="shared" si="279"/>
        <v>0</v>
      </c>
      <c r="AA143" s="232">
        <f t="shared" si="279"/>
        <v>0</v>
      </c>
      <c r="AB143" s="232">
        <f t="shared" si="280"/>
        <v>1189.991</v>
      </c>
      <c r="AC143" s="232"/>
      <c r="AD143" s="232">
        <f t="shared" si="297"/>
        <v>1089.991</v>
      </c>
      <c r="AE143" s="232">
        <f t="shared" si="297"/>
        <v>0</v>
      </c>
      <c r="AF143" s="232">
        <f t="shared" si="297"/>
        <v>100</v>
      </c>
      <c r="AG143" s="232">
        <f t="shared" si="281"/>
        <v>0</v>
      </c>
      <c r="AH143" s="232"/>
      <c r="AI143" s="232"/>
      <c r="AJ143" s="232"/>
      <c r="AK143" s="236"/>
      <c r="AL143" s="234">
        <f t="shared" si="282"/>
        <v>1189.991</v>
      </c>
      <c r="AM143" s="232"/>
      <c r="AN143" s="232">
        <f t="shared" si="298"/>
        <v>1089.991</v>
      </c>
      <c r="AO143" s="232"/>
      <c r="AP143" s="235">
        <f t="shared" si="299"/>
        <v>100</v>
      </c>
      <c r="AQ143" s="232">
        <f t="shared" si="283"/>
        <v>1189.891</v>
      </c>
      <c r="AR143" s="232"/>
      <c r="AS143" s="232">
        <v>1089.891</v>
      </c>
      <c r="AT143" s="232"/>
      <c r="AU143" s="232">
        <v>100</v>
      </c>
      <c r="AV143" s="232">
        <f t="shared" si="284"/>
        <v>1189.891</v>
      </c>
      <c r="AW143" s="232"/>
      <c r="AX143" s="232">
        <v>1089.891</v>
      </c>
      <c r="AY143" s="232"/>
      <c r="AZ143" s="232">
        <v>100</v>
      </c>
      <c r="BA143" s="232">
        <f t="shared" si="285"/>
        <v>1520.69795</v>
      </c>
      <c r="BB143" s="232"/>
      <c r="BC143" s="232">
        <v>57.38579</v>
      </c>
      <c r="BD143" s="232"/>
      <c r="BE143" s="232">
        <v>1463.31216</v>
      </c>
      <c r="BF143" s="232">
        <f t="shared" si="286"/>
        <v>1520.69795</v>
      </c>
      <c r="BG143" s="232"/>
      <c r="BH143" s="232">
        <v>57.38579</v>
      </c>
      <c r="BI143" s="232"/>
      <c r="BJ143" s="232">
        <v>1463.31216</v>
      </c>
      <c r="BK143" s="232">
        <f t="shared" si="287"/>
        <v>2710.5889500000003</v>
      </c>
      <c r="BL143" s="232">
        <f t="shared" si="288"/>
        <v>0</v>
      </c>
      <c r="BM143" s="232">
        <f t="shared" si="289"/>
        <v>1147.2767900000001</v>
      </c>
      <c r="BN143" s="232">
        <f t="shared" si="290"/>
        <v>0</v>
      </c>
      <c r="BO143" s="232">
        <f t="shared" si="291"/>
        <v>1563.31216</v>
      </c>
      <c r="BP143" s="316">
        <f t="shared" si="292"/>
        <v>0.09999999999990905</v>
      </c>
      <c r="BQ143" s="317">
        <f t="shared" si="293"/>
        <v>0</v>
      </c>
      <c r="BR143" s="317">
        <f t="shared" si="294"/>
        <v>0.09999999999990905</v>
      </c>
      <c r="BS143" s="317">
        <f t="shared" si="295"/>
        <v>0</v>
      </c>
      <c r="BT143" s="317">
        <f t="shared" si="296"/>
        <v>0</v>
      </c>
      <c r="BU143" s="229">
        <v>1</v>
      </c>
      <c r="BV143" s="305"/>
      <c r="BW143" s="331" t="s">
        <v>246</v>
      </c>
      <c r="BY143" s="232">
        <v>0.1</v>
      </c>
      <c r="BZ143" s="232">
        <v>1</v>
      </c>
      <c r="CA143" s="317"/>
      <c r="CB143" s="232"/>
      <c r="CC143" s="232"/>
    </row>
    <row r="144" spans="1:81" s="229" customFormat="1" ht="15" customHeight="1">
      <c r="A144" s="230">
        <v>113</v>
      </c>
      <c r="B144" s="239" t="s">
        <v>164</v>
      </c>
      <c r="C144" s="232">
        <f t="shared" si="272"/>
        <v>1391.42</v>
      </c>
      <c r="D144" s="233"/>
      <c r="E144" s="232">
        <f t="shared" si="273"/>
        <v>1391.42</v>
      </c>
      <c r="F144" s="233"/>
      <c r="G144" s="232"/>
      <c r="H144" s="232">
        <f t="shared" si="274"/>
        <v>1758.7976400000002</v>
      </c>
      <c r="I144" s="233"/>
      <c r="J144" s="232">
        <f t="shared" si="275"/>
        <v>1391.42</v>
      </c>
      <c r="K144" s="232">
        <f t="shared" si="276"/>
        <v>367.37764000000004</v>
      </c>
      <c r="L144" s="240"/>
      <c r="M144" s="232">
        <f t="shared" si="300"/>
        <v>1391.42</v>
      </c>
      <c r="N144" s="232"/>
      <c r="O144" s="232">
        <v>1391.42</v>
      </c>
      <c r="P144" s="232"/>
      <c r="Q144" s="232"/>
      <c r="R144" s="234">
        <f t="shared" si="277"/>
        <v>1391.42</v>
      </c>
      <c r="S144" s="232"/>
      <c r="T144" s="232">
        <v>1391.42</v>
      </c>
      <c r="U144" s="232"/>
      <c r="V144" s="235"/>
      <c r="W144" s="232">
        <f t="shared" si="278"/>
        <v>0</v>
      </c>
      <c r="X144" s="232">
        <f t="shared" si="279"/>
        <v>0</v>
      </c>
      <c r="Y144" s="232">
        <f t="shared" si="279"/>
        <v>0</v>
      </c>
      <c r="Z144" s="232">
        <f t="shared" si="279"/>
        <v>0</v>
      </c>
      <c r="AA144" s="232">
        <f t="shared" si="279"/>
        <v>0</v>
      </c>
      <c r="AB144" s="232">
        <f t="shared" si="280"/>
        <v>1391.42</v>
      </c>
      <c r="AC144" s="232"/>
      <c r="AD144" s="232">
        <f t="shared" si="297"/>
        <v>1391.42</v>
      </c>
      <c r="AE144" s="232">
        <f t="shared" si="297"/>
        <v>0</v>
      </c>
      <c r="AF144" s="232">
        <f t="shared" si="297"/>
        <v>0</v>
      </c>
      <c r="AG144" s="232">
        <f t="shared" si="281"/>
        <v>0</v>
      </c>
      <c r="AH144" s="232"/>
      <c r="AI144" s="232"/>
      <c r="AJ144" s="232"/>
      <c r="AK144" s="236"/>
      <c r="AL144" s="234">
        <f t="shared" si="282"/>
        <v>1391.42</v>
      </c>
      <c r="AM144" s="232"/>
      <c r="AN144" s="232">
        <f t="shared" si="298"/>
        <v>1391.42</v>
      </c>
      <c r="AO144" s="232"/>
      <c r="AP144" s="235"/>
      <c r="AQ144" s="232">
        <f t="shared" si="283"/>
        <v>1391.42</v>
      </c>
      <c r="AR144" s="232"/>
      <c r="AS144" s="232">
        <f>354.77728+1036.64272</f>
        <v>1391.42</v>
      </c>
      <c r="AT144" s="232"/>
      <c r="AU144" s="232"/>
      <c r="AV144" s="232">
        <f t="shared" si="284"/>
        <v>1391.42</v>
      </c>
      <c r="AW144" s="232"/>
      <c r="AX144" s="232">
        <f>354.77728+1036.64272</f>
        <v>1391.42</v>
      </c>
      <c r="AY144" s="232"/>
      <c r="AZ144" s="232"/>
      <c r="BA144" s="232">
        <f t="shared" si="285"/>
        <v>367.37764000000004</v>
      </c>
      <c r="BB144" s="232"/>
      <c r="BC144" s="232">
        <f>205.02492+162.35272</f>
        <v>367.37764000000004</v>
      </c>
      <c r="BD144" s="232"/>
      <c r="BE144" s="232"/>
      <c r="BF144" s="232">
        <f t="shared" si="286"/>
        <v>367.37764000000004</v>
      </c>
      <c r="BG144" s="232"/>
      <c r="BH144" s="232">
        <f>205.02492+162.35272</f>
        <v>367.37764000000004</v>
      </c>
      <c r="BI144" s="232"/>
      <c r="BJ144" s="232"/>
      <c r="BK144" s="232">
        <f t="shared" si="287"/>
        <v>1758.7976400000002</v>
      </c>
      <c r="BL144" s="232">
        <f t="shared" si="288"/>
        <v>0</v>
      </c>
      <c r="BM144" s="232">
        <f t="shared" si="289"/>
        <v>1758.7976400000002</v>
      </c>
      <c r="BN144" s="232">
        <f t="shared" si="290"/>
        <v>0</v>
      </c>
      <c r="BO144" s="232">
        <f t="shared" si="291"/>
        <v>0</v>
      </c>
      <c r="BP144" s="316">
        <f t="shared" si="292"/>
        <v>0</v>
      </c>
      <c r="BQ144" s="317">
        <f t="shared" si="293"/>
        <v>0</v>
      </c>
      <c r="BR144" s="317">
        <f t="shared" si="294"/>
        <v>0</v>
      </c>
      <c r="BS144" s="317">
        <f t="shared" si="295"/>
        <v>0</v>
      </c>
      <c r="BT144" s="317">
        <f t="shared" si="296"/>
        <v>0</v>
      </c>
      <c r="BU144" s="229">
        <v>1</v>
      </c>
      <c r="BV144" s="305"/>
      <c r="BW144" s="331" t="s">
        <v>228</v>
      </c>
      <c r="BY144" s="232"/>
      <c r="BZ144" s="232">
        <v>1</v>
      </c>
      <c r="CA144" s="317"/>
      <c r="CB144" s="232"/>
      <c r="CC144" s="232"/>
    </row>
    <row r="145" spans="1:81" s="229" customFormat="1" ht="15" customHeight="1">
      <c r="A145" s="230">
        <v>114</v>
      </c>
      <c r="B145" s="239" t="s">
        <v>165</v>
      </c>
      <c r="C145" s="232">
        <f t="shared" si="272"/>
        <v>755.3340000000001</v>
      </c>
      <c r="D145" s="233"/>
      <c r="E145" s="232">
        <f t="shared" si="273"/>
        <v>755.3340000000001</v>
      </c>
      <c r="F145" s="233"/>
      <c r="G145" s="232"/>
      <c r="H145" s="232">
        <f t="shared" si="274"/>
        <v>1723.58206</v>
      </c>
      <c r="I145" s="233"/>
      <c r="J145" s="232">
        <f t="shared" si="275"/>
        <v>755.3340000000001</v>
      </c>
      <c r="K145" s="232">
        <f t="shared" si="276"/>
        <v>968.2480599999999</v>
      </c>
      <c r="L145" s="240"/>
      <c r="M145" s="232">
        <f t="shared" si="300"/>
        <v>755.3340000000001</v>
      </c>
      <c r="N145" s="232"/>
      <c r="O145" s="232">
        <v>404.44</v>
      </c>
      <c r="P145" s="232"/>
      <c r="Q145" s="232">
        <v>350.894</v>
      </c>
      <c r="R145" s="234">
        <f t="shared" si="277"/>
        <v>755.3340000000001</v>
      </c>
      <c r="S145" s="232"/>
      <c r="T145" s="232">
        <v>404.44</v>
      </c>
      <c r="U145" s="232"/>
      <c r="V145" s="235">
        <v>350.894</v>
      </c>
      <c r="W145" s="232">
        <f t="shared" si="278"/>
        <v>0</v>
      </c>
      <c r="X145" s="232">
        <f t="shared" si="279"/>
        <v>0</v>
      </c>
      <c r="Y145" s="232">
        <f t="shared" si="279"/>
        <v>0</v>
      </c>
      <c r="Z145" s="232">
        <f t="shared" si="279"/>
        <v>0</v>
      </c>
      <c r="AA145" s="232">
        <f t="shared" si="279"/>
        <v>0</v>
      </c>
      <c r="AB145" s="232">
        <f t="shared" si="280"/>
        <v>755.3340000000001</v>
      </c>
      <c r="AC145" s="232"/>
      <c r="AD145" s="232">
        <f t="shared" si="297"/>
        <v>404.44</v>
      </c>
      <c r="AE145" s="232">
        <f t="shared" si="297"/>
        <v>0</v>
      </c>
      <c r="AF145" s="232">
        <f t="shared" si="297"/>
        <v>350.894</v>
      </c>
      <c r="AG145" s="232">
        <f t="shared" si="281"/>
        <v>0</v>
      </c>
      <c r="AH145" s="232"/>
      <c r="AI145" s="232"/>
      <c r="AJ145" s="232"/>
      <c r="AK145" s="236"/>
      <c r="AL145" s="234">
        <f t="shared" si="282"/>
        <v>755.3340000000001</v>
      </c>
      <c r="AM145" s="232"/>
      <c r="AN145" s="232">
        <f t="shared" si="298"/>
        <v>404.44</v>
      </c>
      <c r="AO145" s="232"/>
      <c r="AP145" s="235">
        <f t="shared" si="299"/>
        <v>350.894</v>
      </c>
      <c r="AQ145" s="232">
        <f t="shared" si="283"/>
        <v>755.3340000000001</v>
      </c>
      <c r="AR145" s="232"/>
      <c r="AS145" s="232">
        <v>404.44</v>
      </c>
      <c r="AT145" s="232"/>
      <c r="AU145" s="232">
        <v>350.894</v>
      </c>
      <c r="AV145" s="232">
        <f t="shared" si="284"/>
        <v>755.3340000000001</v>
      </c>
      <c r="AW145" s="232"/>
      <c r="AX145" s="232">
        <v>404.44</v>
      </c>
      <c r="AY145" s="232"/>
      <c r="AZ145" s="232">
        <v>350.894</v>
      </c>
      <c r="BA145" s="232">
        <f t="shared" si="285"/>
        <v>968.2480599999999</v>
      </c>
      <c r="BB145" s="232"/>
      <c r="BC145" s="232">
        <v>327.05415</v>
      </c>
      <c r="BD145" s="232"/>
      <c r="BE145" s="232">
        <v>641.19391</v>
      </c>
      <c r="BF145" s="232">
        <f t="shared" si="286"/>
        <v>968.2480599999999</v>
      </c>
      <c r="BG145" s="232"/>
      <c r="BH145" s="232">
        <v>327.05415</v>
      </c>
      <c r="BI145" s="232"/>
      <c r="BJ145" s="232">
        <v>641.19391</v>
      </c>
      <c r="BK145" s="232">
        <f t="shared" si="287"/>
        <v>1723.58206</v>
      </c>
      <c r="BL145" s="232">
        <f t="shared" si="288"/>
        <v>0</v>
      </c>
      <c r="BM145" s="232">
        <f t="shared" si="289"/>
        <v>731.49415</v>
      </c>
      <c r="BN145" s="232">
        <f t="shared" si="290"/>
        <v>0</v>
      </c>
      <c r="BO145" s="232">
        <f t="shared" si="291"/>
        <v>992.08791</v>
      </c>
      <c r="BP145" s="316">
        <f t="shared" si="292"/>
        <v>0</v>
      </c>
      <c r="BQ145" s="317">
        <f t="shared" si="293"/>
        <v>0</v>
      </c>
      <c r="BR145" s="317">
        <f t="shared" si="294"/>
        <v>0</v>
      </c>
      <c r="BS145" s="317">
        <f t="shared" si="295"/>
        <v>0</v>
      </c>
      <c r="BT145" s="317">
        <f t="shared" si="296"/>
        <v>0</v>
      </c>
      <c r="BU145" s="229">
        <v>1</v>
      </c>
      <c r="BV145" s="305"/>
      <c r="BW145" s="331" t="s">
        <v>228</v>
      </c>
      <c r="BY145" s="232"/>
      <c r="BZ145" s="232">
        <v>1</v>
      </c>
      <c r="CA145" s="317"/>
      <c r="CB145" s="232"/>
      <c r="CC145" s="232"/>
    </row>
    <row r="146" spans="1:81" s="229" customFormat="1" ht="15" customHeight="1">
      <c r="A146" s="230">
        <v>115</v>
      </c>
      <c r="B146" s="239" t="s">
        <v>166</v>
      </c>
      <c r="C146" s="232">
        <f t="shared" si="272"/>
        <v>3962.868</v>
      </c>
      <c r="D146" s="233"/>
      <c r="E146" s="232">
        <f t="shared" si="273"/>
        <v>3962.868</v>
      </c>
      <c r="F146" s="233"/>
      <c r="G146" s="232"/>
      <c r="H146" s="232">
        <f t="shared" si="274"/>
        <v>4322.527770000001</v>
      </c>
      <c r="I146" s="233"/>
      <c r="J146" s="232">
        <f t="shared" si="275"/>
        <v>3962.8680000000004</v>
      </c>
      <c r="K146" s="232">
        <f t="shared" si="276"/>
        <v>359.65977</v>
      </c>
      <c r="L146" s="240"/>
      <c r="M146" s="232">
        <f t="shared" si="300"/>
        <v>3962.868</v>
      </c>
      <c r="N146" s="232"/>
      <c r="O146" s="232">
        <v>3962.868</v>
      </c>
      <c r="P146" s="232"/>
      <c r="Q146" s="232"/>
      <c r="R146" s="234">
        <f t="shared" si="277"/>
        <v>3962.8680000000004</v>
      </c>
      <c r="S146" s="232"/>
      <c r="T146" s="232">
        <f>2121.9+1840.968</f>
        <v>3962.8680000000004</v>
      </c>
      <c r="U146" s="232"/>
      <c r="V146" s="235"/>
      <c r="W146" s="232">
        <f t="shared" si="278"/>
        <v>0</v>
      </c>
      <c r="X146" s="232">
        <f t="shared" si="279"/>
        <v>0</v>
      </c>
      <c r="Y146" s="232">
        <f t="shared" si="279"/>
        <v>0</v>
      </c>
      <c r="Z146" s="232">
        <f t="shared" si="279"/>
        <v>0</v>
      </c>
      <c r="AA146" s="232">
        <f t="shared" si="279"/>
        <v>0</v>
      </c>
      <c r="AB146" s="232">
        <f t="shared" si="280"/>
        <v>3962.8680000000004</v>
      </c>
      <c r="AC146" s="232"/>
      <c r="AD146" s="232">
        <f t="shared" si="297"/>
        <v>3962.8680000000004</v>
      </c>
      <c r="AE146" s="232">
        <f t="shared" si="297"/>
        <v>0</v>
      </c>
      <c r="AF146" s="232">
        <f t="shared" si="297"/>
        <v>0</v>
      </c>
      <c r="AG146" s="232">
        <f t="shared" si="281"/>
        <v>0</v>
      </c>
      <c r="AH146" s="232"/>
      <c r="AI146" s="232"/>
      <c r="AJ146" s="232"/>
      <c r="AK146" s="236"/>
      <c r="AL146" s="234">
        <f t="shared" si="282"/>
        <v>3962.8680000000004</v>
      </c>
      <c r="AM146" s="232"/>
      <c r="AN146" s="232">
        <f t="shared" si="298"/>
        <v>3962.8680000000004</v>
      </c>
      <c r="AO146" s="232"/>
      <c r="AP146" s="235"/>
      <c r="AQ146" s="232">
        <f t="shared" si="283"/>
        <v>3962.8680000000004</v>
      </c>
      <c r="AR146" s="232"/>
      <c r="AS146" s="232">
        <f>754.694+1398.994+1809.18</f>
        <v>3962.8680000000004</v>
      </c>
      <c r="AT146" s="232"/>
      <c r="AU146" s="232"/>
      <c r="AV146" s="232">
        <f t="shared" si="284"/>
        <v>3962.8680000000004</v>
      </c>
      <c r="AW146" s="232"/>
      <c r="AX146" s="232">
        <f>754.694+1398.994+1809.18</f>
        <v>3962.8680000000004</v>
      </c>
      <c r="AY146" s="232"/>
      <c r="AZ146" s="232"/>
      <c r="BA146" s="232">
        <f t="shared" si="285"/>
        <v>359.65977</v>
      </c>
      <c r="BB146" s="232"/>
      <c r="BC146" s="232">
        <v>359.65977</v>
      </c>
      <c r="BD146" s="232"/>
      <c r="BE146" s="232"/>
      <c r="BF146" s="232">
        <f t="shared" si="286"/>
        <v>359.65977</v>
      </c>
      <c r="BG146" s="232"/>
      <c r="BH146" s="232">
        <v>359.65977</v>
      </c>
      <c r="BI146" s="232"/>
      <c r="BJ146" s="232"/>
      <c r="BK146" s="232">
        <f t="shared" si="287"/>
        <v>4322.527770000001</v>
      </c>
      <c r="BL146" s="232">
        <f t="shared" si="288"/>
        <v>0</v>
      </c>
      <c r="BM146" s="232">
        <f t="shared" si="289"/>
        <v>4322.527770000001</v>
      </c>
      <c r="BN146" s="232">
        <f t="shared" si="290"/>
        <v>0</v>
      </c>
      <c r="BO146" s="232">
        <f t="shared" si="291"/>
        <v>0</v>
      </c>
      <c r="BP146" s="316">
        <f t="shared" si="292"/>
        <v>0</v>
      </c>
      <c r="BQ146" s="317">
        <f t="shared" si="293"/>
        <v>0</v>
      </c>
      <c r="BR146" s="317">
        <f t="shared" si="294"/>
        <v>0</v>
      </c>
      <c r="BS146" s="317">
        <f t="shared" si="295"/>
        <v>0</v>
      </c>
      <c r="BT146" s="317">
        <f t="shared" si="296"/>
        <v>0</v>
      </c>
      <c r="BU146" s="229">
        <v>1</v>
      </c>
      <c r="BV146" s="305"/>
      <c r="BW146" s="331" t="s">
        <v>228</v>
      </c>
      <c r="BY146" s="232"/>
      <c r="BZ146" s="232">
        <v>1</v>
      </c>
      <c r="CA146" s="317"/>
      <c r="CB146" s="232"/>
      <c r="CC146" s="232"/>
    </row>
    <row r="147" spans="1:81" s="229" customFormat="1" ht="21" customHeight="1">
      <c r="A147" s="230">
        <v>116</v>
      </c>
      <c r="B147" s="239" t="s">
        <v>167</v>
      </c>
      <c r="C147" s="232">
        <f t="shared" si="272"/>
        <v>4016.962</v>
      </c>
      <c r="D147" s="233"/>
      <c r="E147" s="232">
        <f t="shared" si="273"/>
        <v>4016.962</v>
      </c>
      <c r="F147" s="233"/>
      <c r="G147" s="232"/>
      <c r="H147" s="232">
        <f t="shared" si="274"/>
        <v>4226.631509999999</v>
      </c>
      <c r="I147" s="233"/>
      <c r="J147" s="232">
        <f t="shared" si="275"/>
        <v>4016.9619999999995</v>
      </c>
      <c r="K147" s="232">
        <f t="shared" si="276"/>
        <v>209.66951</v>
      </c>
      <c r="L147" s="240"/>
      <c r="M147" s="232">
        <f t="shared" si="300"/>
        <v>4016.962</v>
      </c>
      <c r="N147" s="232"/>
      <c r="O147" s="232">
        <f>4027.034-10.072</f>
        <v>4016.962</v>
      </c>
      <c r="P147" s="232"/>
      <c r="Q147" s="232"/>
      <c r="R147" s="234">
        <f t="shared" si="277"/>
        <v>4016.9619999999995</v>
      </c>
      <c r="S147" s="232"/>
      <c r="T147" s="232">
        <f>2150.865+1866.097</f>
        <v>4016.9619999999995</v>
      </c>
      <c r="U147" s="232"/>
      <c r="V147" s="235"/>
      <c r="W147" s="232">
        <f t="shared" si="278"/>
        <v>0</v>
      </c>
      <c r="X147" s="232">
        <f t="shared" si="279"/>
        <v>0</v>
      </c>
      <c r="Y147" s="232">
        <f t="shared" si="279"/>
        <v>0</v>
      </c>
      <c r="Z147" s="232">
        <f t="shared" si="279"/>
        <v>0</v>
      </c>
      <c r="AA147" s="232">
        <f t="shared" si="279"/>
        <v>0</v>
      </c>
      <c r="AB147" s="232">
        <f t="shared" si="280"/>
        <v>4016.9619999999995</v>
      </c>
      <c r="AC147" s="232"/>
      <c r="AD147" s="232">
        <f t="shared" si="297"/>
        <v>4016.9619999999995</v>
      </c>
      <c r="AE147" s="232">
        <f t="shared" si="297"/>
        <v>0</v>
      </c>
      <c r="AF147" s="232">
        <f t="shared" si="297"/>
        <v>0</v>
      </c>
      <c r="AG147" s="232">
        <f t="shared" si="281"/>
        <v>0</v>
      </c>
      <c r="AH147" s="232"/>
      <c r="AI147" s="232"/>
      <c r="AJ147" s="232"/>
      <c r="AK147" s="236"/>
      <c r="AL147" s="234">
        <f t="shared" si="282"/>
        <v>4016.9619999999995</v>
      </c>
      <c r="AM147" s="232"/>
      <c r="AN147" s="232">
        <f t="shared" si="298"/>
        <v>4016.9619999999995</v>
      </c>
      <c r="AO147" s="232"/>
      <c r="AP147" s="235"/>
      <c r="AQ147" s="232">
        <f t="shared" si="283"/>
        <v>3983.7198700000004</v>
      </c>
      <c r="AR147" s="232"/>
      <c r="AS147" s="232">
        <f>1070.59109+105.97953+378.49028+376.30063+253.60675+632.32353+202.88654+915.66272+47.8788</f>
        <v>3983.7198700000004</v>
      </c>
      <c r="AT147" s="232"/>
      <c r="AU147" s="232"/>
      <c r="AV147" s="232">
        <f t="shared" si="284"/>
        <v>3983.7198700000004</v>
      </c>
      <c r="AW147" s="232"/>
      <c r="AX147" s="232">
        <f>1070.59109+105.97953+378.49028+376.30063+253.60675+632.32353+202.88654+915.66272+47.8788</f>
        <v>3983.7198700000004</v>
      </c>
      <c r="AY147" s="232"/>
      <c r="AZ147" s="232"/>
      <c r="BA147" s="232">
        <f t="shared" si="285"/>
        <v>209.66951</v>
      </c>
      <c r="BB147" s="232"/>
      <c r="BC147" s="232">
        <v>209.66951</v>
      </c>
      <c r="BD147" s="232"/>
      <c r="BE147" s="232"/>
      <c r="BF147" s="232">
        <f t="shared" si="286"/>
        <v>209.66951</v>
      </c>
      <c r="BG147" s="232"/>
      <c r="BH147" s="232">
        <v>209.66951</v>
      </c>
      <c r="BI147" s="232"/>
      <c r="BJ147" s="232"/>
      <c r="BK147" s="232">
        <f t="shared" si="287"/>
        <v>4193.3893800000005</v>
      </c>
      <c r="BL147" s="232">
        <f t="shared" si="288"/>
        <v>0</v>
      </c>
      <c r="BM147" s="232">
        <f t="shared" si="289"/>
        <v>4193.3893800000005</v>
      </c>
      <c r="BN147" s="232">
        <f t="shared" si="290"/>
        <v>0</v>
      </c>
      <c r="BO147" s="232">
        <f t="shared" si="291"/>
        <v>0</v>
      </c>
      <c r="BP147" s="316">
        <f t="shared" si="292"/>
        <v>33.24212999999918</v>
      </c>
      <c r="BQ147" s="317">
        <f t="shared" si="293"/>
        <v>0</v>
      </c>
      <c r="BR147" s="317">
        <f t="shared" si="294"/>
        <v>33.24212999999918</v>
      </c>
      <c r="BS147" s="317">
        <f t="shared" si="295"/>
        <v>0</v>
      </c>
      <c r="BT147" s="317">
        <f t="shared" si="296"/>
        <v>0</v>
      </c>
      <c r="BU147" s="229">
        <v>1</v>
      </c>
      <c r="BV147" s="305"/>
      <c r="BW147" s="331" t="s">
        <v>247</v>
      </c>
      <c r="BY147" s="232">
        <v>33.2</v>
      </c>
      <c r="BZ147" s="232">
        <v>1</v>
      </c>
      <c r="CA147" s="317"/>
      <c r="CB147" s="232"/>
      <c r="CC147" s="232"/>
    </row>
    <row r="148" spans="1:81" s="229" customFormat="1" ht="15" customHeight="1">
      <c r="A148" s="238"/>
      <c r="B148" s="301" t="s">
        <v>17</v>
      </c>
      <c r="C148" s="228">
        <f aca="true" t="shared" si="301" ref="C148:K148">SUM(C149:C149)</f>
        <v>3187.851</v>
      </c>
      <c r="D148" s="228">
        <f t="shared" si="301"/>
        <v>0</v>
      </c>
      <c r="E148" s="228">
        <f t="shared" si="301"/>
        <v>3187.851</v>
      </c>
      <c r="F148" s="228">
        <f t="shared" si="301"/>
        <v>0</v>
      </c>
      <c r="G148" s="228">
        <f t="shared" si="301"/>
        <v>0</v>
      </c>
      <c r="H148" s="228">
        <f t="shared" si="301"/>
        <v>6242.07662</v>
      </c>
      <c r="I148" s="228">
        <f t="shared" si="301"/>
        <v>0</v>
      </c>
      <c r="J148" s="228">
        <f t="shared" si="301"/>
        <v>3187.851</v>
      </c>
      <c r="K148" s="228">
        <f t="shared" si="301"/>
        <v>3054.22562</v>
      </c>
      <c r="L148" s="224"/>
      <c r="M148" s="223">
        <f t="shared" si="300"/>
        <v>3187.851</v>
      </c>
      <c r="N148" s="223">
        <f>SUM(N149:N149)</f>
        <v>0</v>
      </c>
      <c r="O148" s="223">
        <f>SUM(O149:O149)</f>
        <v>3187.851</v>
      </c>
      <c r="P148" s="223">
        <f>SUM(P149:P149)</f>
        <v>0</v>
      </c>
      <c r="Q148" s="223">
        <f>SUM(Q149:Q149)</f>
        <v>0</v>
      </c>
      <c r="R148" s="225">
        <f aca="true" t="shared" si="302" ref="R148:BT148">SUM(R149:R149)</f>
        <v>3187.851</v>
      </c>
      <c r="S148" s="223">
        <f t="shared" si="302"/>
        <v>0</v>
      </c>
      <c r="T148" s="223">
        <f t="shared" si="302"/>
        <v>3187.851</v>
      </c>
      <c r="U148" s="223">
        <f t="shared" si="302"/>
        <v>0</v>
      </c>
      <c r="V148" s="226">
        <f t="shared" si="302"/>
        <v>0</v>
      </c>
      <c r="W148" s="223">
        <f t="shared" si="302"/>
        <v>0</v>
      </c>
      <c r="X148" s="223">
        <f t="shared" si="302"/>
        <v>0</v>
      </c>
      <c r="Y148" s="223">
        <f t="shared" si="302"/>
        <v>0</v>
      </c>
      <c r="Z148" s="223">
        <f t="shared" si="302"/>
        <v>0</v>
      </c>
      <c r="AA148" s="223">
        <f t="shared" si="302"/>
        <v>0</v>
      </c>
      <c r="AB148" s="223">
        <f t="shared" si="302"/>
        <v>3187.851</v>
      </c>
      <c r="AC148" s="223">
        <f t="shared" si="302"/>
        <v>0</v>
      </c>
      <c r="AD148" s="223">
        <f t="shared" si="302"/>
        <v>3187.851</v>
      </c>
      <c r="AE148" s="223">
        <f t="shared" si="302"/>
        <v>0</v>
      </c>
      <c r="AF148" s="223">
        <f t="shared" si="302"/>
        <v>0</v>
      </c>
      <c r="AG148" s="223">
        <f t="shared" si="302"/>
        <v>0</v>
      </c>
      <c r="AH148" s="223">
        <f t="shared" si="302"/>
        <v>0</v>
      </c>
      <c r="AI148" s="223">
        <f t="shared" si="302"/>
        <v>0</v>
      </c>
      <c r="AJ148" s="223">
        <f t="shared" si="302"/>
        <v>0</v>
      </c>
      <c r="AK148" s="227">
        <f t="shared" si="302"/>
        <v>0</v>
      </c>
      <c r="AL148" s="225">
        <f t="shared" si="302"/>
        <v>3187.851</v>
      </c>
      <c r="AM148" s="223">
        <f t="shared" si="302"/>
        <v>0</v>
      </c>
      <c r="AN148" s="223">
        <f t="shared" si="302"/>
        <v>3187.851</v>
      </c>
      <c r="AO148" s="223">
        <f t="shared" si="302"/>
        <v>0</v>
      </c>
      <c r="AP148" s="226">
        <f t="shared" si="302"/>
        <v>0</v>
      </c>
      <c r="AQ148" s="223">
        <f t="shared" si="302"/>
        <v>3187.8509999999997</v>
      </c>
      <c r="AR148" s="223">
        <f t="shared" si="302"/>
        <v>0</v>
      </c>
      <c r="AS148" s="223">
        <f t="shared" si="302"/>
        <v>3187.8509999999997</v>
      </c>
      <c r="AT148" s="223">
        <f t="shared" si="302"/>
        <v>0</v>
      </c>
      <c r="AU148" s="223">
        <f t="shared" si="302"/>
        <v>0</v>
      </c>
      <c r="AV148" s="223">
        <f t="shared" si="302"/>
        <v>3187.8509999999997</v>
      </c>
      <c r="AW148" s="223">
        <f t="shared" si="302"/>
        <v>0</v>
      </c>
      <c r="AX148" s="223">
        <f t="shared" si="302"/>
        <v>3187.8509999999997</v>
      </c>
      <c r="AY148" s="223">
        <f t="shared" si="302"/>
        <v>0</v>
      </c>
      <c r="AZ148" s="223">
        <f t="shared" si="302"/>
        <v>0</v>
      </c>
      <c r="BA148" s="223">
        <f t="shared" si="302"/>
        <v>3054.22562</v>
      </c>
      <c r="BB148" s="223">
        <f t="shared" si="302"/>
        <v>0</v>
      </c>
      <c r="BC148" s="223">
        <f t="shared" si="302"/>
        <v>3054.22562</v>
      </c>
      <c r="BD148" s="223">
        <f t="shared" si="302"/>
        <v>0</v>
      </c>
      <c r="BE148" s="223">
        <f t="shared" si="302"/>
        <v>0</v>
      </c>
      <c r="BF148" s="223">
        <f t="shared" si="302"/>
        <v>3054.22562</v>
      </c>
      <c r="BG148" s="223">
        <f t="shared" si="302"/>
        <v>0</v>
      </c>
      <c r="BH148" s="223">
        <f t="shared" si="302"/>
        <v>3054.22562</v>
      </c>
      <c r="BI148" s="223">
        <f t="shared" si="302"/>
        <v>0</v>
      </c>
      <c r="BJ148" s="223">
        <f t="shared" si="302"/>
        <v>0</v>
      </c>
      <c r="BK148" s="223">
        <f t="shared" si="302"/>
        <v>6242.07662</v>
      </c>
      <c r="BL148" s="223">
        <f t="shared" si="302"/>
        <v>0</v>
      </c>
      <c r="BM148" s="223">
        <f t="shared" si="302"/>
        <v>6242.07662</v>
      </c>
      <c r="BN148" s="223">
        <f t="shared" si="302"/>
        <v>0</v>
      </c>
      <c r="BO148" s="223">
        <f t="shared" si="302"/>
        <v>0</v>
      </c>
      <c r="BP148" s="314">
        <f t="shared" si="302"/>
        <v>0</v>
      </c>
      <c r="BQ148" s="315">
        <f t="shared" si="302"/>
        <v>0</v>
      </c>
      <c r="BR148" s="315">
        <f t="shared" si="302"/>
        <v>0</v>
      </c>
      <c r="BS148" s="315">
        <f t="shared" si="302"/>
        <v>0</v>
      </c>
      <c r="BT148" s="315">
        <f t="shared" si="302"/>
        <v>0</v>
      </c>
      <c r="BV148" s="305"/>
      <c r="BW148" s="349" t="s">
        <v>278</v>
      </c>
      <c r="BY148" s="223">
        <f>SUM(BY149:BY149)</f>
        <v>0</v>
      </c>
      <c r="BZ148" s="223">
        <f>SUM(BZ149:BZ149)</f>
        <v>1</v>
      </c>
      <c r="CA148" s="315">
        <f>SUM(CA149:CA149)</f>
        <v>0</v>
      </c>
      <c r="CB148" s="223">
        <f>SUM(CB149:CB149)</f>
        <v>0</v>
      </c>
      <c r="CC148" s="223">
        <f>SUM(CC149:CC149)</f>
        <v>0</v>
      </c>
    </row>
    <row r="149" spans="1:81" s="229" customFormat="1" ht="15" customHeight="1">
      <c r="A149" s="230">
        <v>117</v>
      </c>
      <c r="B149" s="239" t="s">
        <v>168</v>
      </c>
      <c r="C149" s="232">
        <f>E149+D149+F149</f>
        <v>3187.851</v>
      </c>
      <c r="D149" s="233"/>
      <c r="E149" s="232">
        <f>M149</f>
        <v>3187.851</v>
      </c>
      <c r="F149" s="233"/>
      <c r="G149" s="232"/>
      <c r="H149" s="232">
        <f>I149+J149+K149</f>
        <v>6242.07662</v>
      </c>
      <c r="I149" s="233"/>
      <c r="J149" s="232">
        <f>AL149</f>
        <v>3187.851</v>
      </c>
      <c r="K149" s="232">
        <f>BF149</f>
        <v>3054.22562</v>
      </c>
      <c r="L149" s="240"/>
      <c r="M149" s="232">
        <f t="shared" si="300"/>
        <v>3187.851</v>
      </c>
      <c r="N149" s="232"/>
      <c r="O149" s="232">
        <v>3187.851</v>
      </c>
      <c r="P149" s="232"/>
      <c r="Q149" s="232"/>
      <c r="R149" s="234">
        <f>S149+T149+U149+V149</f>
        <v>3187.851</v>
      </c>
      <c r="S149" s="232"/>
      <c r="T149" s="232">
        <f>1706.921+1480.93</f>
        <v>3187.851</v>
      </c>
      <c r="U149" s="232"/>
      <c r="V149" s="235"/>
      <c r="W149" s="232">
        <f>X149+Y149+Z149+AA149</f>
        <v>0</v>
      </c>
      <c r="X149" s="232">
        <f>N149-S149</f>
        <v>0</v>
      </c>
      <c r="Y149" s="232">
        <f>O149-T149</f>
        <v>0</v>
      </c>
      <c r="Z149" s="232">
        <f>P149-U149</f>
        <v>0</v>
      </c>
      <c r="AA149" s="232">
        <f>Q149-V149</f>
        <v>0</v>
      </c>
      <c r="AB149" s="232">
        <f>AC149+AD149+AE149+AF149</f>
        <v>3187.851</v>
      </c>
      <c r="AC149" s="232"/>
      <c r="AD149" s="232">
        <f>T149</f>
        <v>3187.851</v>
      </c>
      <c r="AE149" s="232">
        <f>U149</f>
        <v>0</v>
      </c>
      <c r="AF149" s="232">
        <f>V149</f>
        <v>0</v>
      </c>
      <c r="AG149" s="232">
        <f>AH149+AI149+AJ149+AK149</f>
        <v>0</v>
      </c>
      <c r="AH149" s="232"/>
      <c r="AI149" s="232"/>
      <c r="AJ149" s="232"/>
      <c r="AK149" s="236"/>
      <c r="AL149" s="234">
        <f>AM149+AN149+AO149+AP149</f>
        <v>3187.851</v>
      </c>
      <c r="AM149" s="232"/>
      <c r="AN149" s="232">
        <f>AD149</f>
        <v>3187.851</v>
      </c>
      <c r="AO149" s="232"/>
      <c r="AP149" s="235"/>
      <c r="AQ149" s="232">
        <f>AR149+AS149+AT149+AU149</f>
        <v>3187.8509999999997</v>
      </c>
      <c r="AR149" s="232"/>
      <c r="AS149" s="232">
        <f>1786.13602+1401.71498</f>
        <v>3187.8509999999997</v>
      </c>
      <c r="AT149" s="232"/>
      <c r="AU149" s="232"/>
      <c r="AV149" s="232">
        <f>AW149+AX149+AY149+AZ149</f>
        <v>3187.8509999999997</v>
      </c>
      <c r="AW149" s="232"/>
      <c r="AX149" s="232">
        <f>1786.13602+1401.71498</f>
        <v>3187.8509999999997</v>
      </c>
      <c r="AY149" s="232"/>
      <c r="AZ149" s="232"/>
      <c r="BA149" s="232">
        <f>BB149+BC149+BD149+BE149</f>
        <v>3054.22562</v>
      </c>
      <c r="BB149" s="232"/>
      <c r="BC149" s="232">
        <f>189.87691+2864.34871</f>
        <v>3054.22562</v>
      </c>
      <c r="BD149" s="232"/>
      <c r="BE149" s="232"/>
      <c r="BF149" s="232">
        <f>BG149+BH149+BI149+BJ149</f>
        <v>3054.22562</v>
      </c>
      <c r="BG149" s="232"/>
      <c r="BH149" s="232">
        <f>189.87691+2864.34871</f>
        <v>3054.22562</v>
      </c>
      <c r="BI149" s="232"/>
      <c r="BJ149" s="232"/>
      <c r="BK149" s="232">
        <f>BL149+BM149+BN149+BO149</f>
        <v>6242.07662</v>
      </c>
      <c r="BL149" s="232">
        <f>AW149+BG149</f>
        <v>0</v>
      </c>
      <c r="BM149" s="232">
        <f>AX149+BH149</f>
        <v>6242.07662</v>
      </c>
      <c r="BN149" s="232">
        <f>AY149+BI149</f>
        <v>0</v>
      </c>
      <c r="BO149" s="232">
        <f>AZ149+BJ149</f>
        <v>0</v>
      </c>
      <c r="BP149" s="316">
        <f>BQ149+BR149+BS149+BT149</f>
        <v>0</v>
      </c>
      <c r="BQ149" s="317">
        <f>AM149-AW149</f>
        <v>0</v>
      </c>
      <c r="BR149" s="317">
        <f>AN149-AX149</f>
        <v>0</v>
      </c>
      <c r="BS149" s="317">
        <f>AO149-AY149</f>
        <v>0</v>
      </c>
      <c r="BT149" s="317">
        <f>AP149-AZ149</f>
        <v>0</v>
      </c>
      <c r="BU149" s="229">
        <v>1</v>
      </c>
      <c r="BV149" s="305"/>
      <c r="BW149" s="331" t="s">
        <v>228</v>
      </c>
      <c r="BY149" s="232"/>
      <c r="BZ149" s="232">
        <v>1</v>
      </c>
      <c r="CA149" s="317"/>
      <c r="CB149" s="232"/>
      <c r="CC149" s="232"/>
    </row>
    <row r="150" spans="1:81" s="229" customFormat="1" ht="28.5" customHeight="1">
      <c r="A150" s="238"/>
      <c r="B150" s="301" t="s">
        <v>16</v>
      </c>
      <c r="C150" s="228">
        <f aca="true" t="shared" si="303" ref="C150:K150">SUM(C151:C164)</f>
        <v>35695.69099999999</v>
      </c>
      <c r="D150" s="228">
        <f t="shared" si="303"/>
        <v>0</v>
      </c>
      <c r="E150" s="228">
        <f t="shared" si="303"/>
        <v>35695.69099999999</v>
      </c>
      <c r="F150" s="228">
        <f t="shared" si="303"/>
        <v>0</v>
      </c>
      <c r="G150" s="228">
        <f t="shared" si="303"/>
        <v>0</v>
      </c>
      <c r="H150" s="228">
        <f t="shared" si="303"/>
        <v>43004.35997</v>
      </c>
      <c r="I150" s="228">
        <f t="shared" si="303"/>
        <v>0</v>
      </c>
      <c r="J150" s="228">
        <f t="shared" si="303"/>
        <v>35418.638999999996</v>
      </c>
      <c r="K150" s="228">
        <f t="shared" si="303"/>
        <v>7585.720970000001</v>
      </c>
      <c r="L150" s="224"/>
      <c r="M150" s="223">
        <f t="shared" si="300"/>
        <v>35695.69099999999</v>
      </c>
      <c r="N150" s="223">
        <f>SUM(N151:N164)</f>
        <v>0</v>
      </c>
      <c r="O150" s="223">
        <f>SUM(O151:O164)</f>
        <v>28968.639999999996</v>
      </c>
      <c r="P150" s="223">
        <f>SUM(P151:P164)</f>
        <v>0</v>
      </c>
      <c r="Q150" s="223">
        <f>SUM(Q151:Q164)</f>
        <v>6727.050999999999</v>
      </c>
      <c r="R150" s="225">
        <f aca="true" t="shared" si="304" ref="R150:AP150">SUM(R151:R164)</f>
        <v>35418.638999999996</v>
      </c>
      <c r="S150" s="223">
        <f t="shared" si="304"/>
        <v>0</v>
      </c>
      <c r="T150" s="223">
        <f t="shared" si="304"/>
        <v>28691.587999999996</v>
      </c>
      <c r="U150" s="223">
        <f t="shared" si="304"/>
        <v>0</v>
      </c>
      <c r="V150" s="226">
        <f t="shared" si="304"/>
        <v>6727.050999999999</v>
      </c>
      <c r="W150" s="223">
        <f t="shared" si="304"/>
        <v>277.0519999999997</v>
      </c>
      <c r="X150" s="223">
        <f t="shared" si="304"/>
        <v>0</v>
      </c>
      <c r="Y150" s="223">
        <f t="shared" si="304"/>
        <v>277.0519999999997</v>
      </c>
      <c r="Z150" s="223">
        <f t="shared" si="304"/>
        <v>0</v>
      </c>
      <c r="AA150" s="223">
        <f t="shared" si="304"/>
        <v>0</v>
      </c>
      <c r="AB150" s="223">
        <f t="shared" si="304"/>
        <v>35418.638999999996</v>
      </c>
      <c r="AC150" s="223">
        <f t="shared" si="304"/>
        <v>0</v>
      </c>
      <c r="AD150" s="223">
        <f t="shared" si="304"/>
        <v>28691.587999999996</v>
      </c>
      <c r="AE150" s="223">
        <f t="shared" si="304"/>
        <v>0</v>
      </c>
      <c r="AF150" s="223">
        <f t="shared" si="304"/>
        <v>6727.050999999999</v>
      </c>
      <c r="AG150" s="223">
        <f t="shared" si="304"/>
        <v>174.911</v>
      </c>
      <c r="AH150" s="223">
        <f t="shared" si="304"/>
        <v>0</v>
      </c>
      <c r="AI150" s="223">
        <f t="shared" si="304"/>
        <v>174.911</v>
      </c>
      <c r="AJ150" s="223">
        <f t="shared" si="304"/>
        <v>0</v>
      </c>
      <c r="AK150" s="227">
        <f t="shared" si="304"/>
        <v>0</v>
      </c>
      <c r="AL150" s="225">
        <f t="shared" si="304"/>
        <v>35418.638999999996</v>
      </c>
      <c r="AM150" s="223">
        <f t="shared" si="304"/>
        <v>0</v>
      </c>
      <c r="AN150" s="223">
        <f t="shared" si="304"/>
        <v>28691.587999999996</v>
      </c>
      <c r="AO150" s="223">
        <f t="shared" si="304"/>
        <v>0</v>
      </c>
      <c r="AP150" s="226">
        <f t="shared" si="304"/>
        <v>6727.050999999999</v>
      </c>
      <c r="AQ150" s="223">
        <f aca="true" t="shared" si="305" ref="AQ150:BE150">SUM(AQ151:AQ164)</f>
        <v>34820.24389</v>
      </c>
      <c r="AR150" s="223">
        <f t="shared" si="305"/>
        <v>0</v>
      </c>
      <c r="AS150" s="223">
        <f t="shared" si="305"/>
        <v>28402.14189</v>
      </c>
      <c r="AT150" s="223">
        <f t="shared" si="305"/>
        <v>0</v>
      </c>
      <c r="AU150" s="223">
        <f t="shared" si="305"/>
        <v>6418.102</v>
      </c>
      <c r="AV150" s="223">
        <f t="shared" si="305"/>
        <v>34820.24389</v>
      </c>
      <c r="AW150" s="223">
        <f t="shared" si="305"/>
        <v>0</v>
      </c>
      <c r="AX150" s="223">
        <f t="shared" si="305"/>
        <v>28402.14189</v>
      </c>
      <c r="AY150" s="223">
        <f t="shared" si="305"/>
        <v>0</v>
      </c>
      <c r="AZ150" s="223">
        <f t="shared" si="305"/>
        <v>6418.102</v>
      </c>
      <c r="BA150" s="223">
        <f t="shared" si="305"/>
        <v>7585.720970000001</v>
      </c>
      <c r="BB150" s="223">
        <f t="shared" si="305"/>
        <v>0</v>
      </c>
      <c r="BC150" s="223">
        <f t="shared" si="305"/>
        <v>5029.191609999999</v>
      </c>
      <c r="BD150" s="223">
        <f t="shared" si="305"/>
        <v>0</v>
      </c>
      <c r="BE150" s="223">
        <f t="shared" si="305"/>
        <v>2556.52936</v>
      </c>
      <c r="BF150" s="223">
        <f aca="true" t="shared" si="306" ref="BF150:BT150">SUM(BF151:BF164)</f>
        <v>7585.720970000001</v>
      </c>
      <c r="BG150" s="223">
        <f t="shared" si="306"/>
        <v>0</v>
      </c>
      <c r="BH150" s="223">
        <f t="shared" si="306"/>
        <v>5029.191609999999</v>
      </c>
      <c r="BI150" s="223">
        <f t="shared" si="306"/>
        <v>0</v>
      </c>
      <c r="BJ150" s="223">
        <f t="shared" si="306"/>
        <v>2556.52936</v>
      </c>
      <c r="BK150" s="223">
        <f t="shared" si="306"/>
        <v>42405.96486</v>
      </c>
      <c r="BL150" s="223">
        <f t="shared" si="306"/>
        <v>0</v>
      </c>
      <c r="BM150" s="223">
        <f t="shared" si="306"/>
        <v>33431.33350000001</v>
      </c>
      <c r="BN150" s="223">
        <f t="shared" si="306"/>
        <v>0</v>
      </c>
      <c r="BO150" s="223">
        <f t="shared" si="306"/>
        <v>8974.63136</v>
      </c>
      <c r="BP150" s="314">
        <f t="shared" si="306"/>
        <v>598.3951099999999</v>
      </c>
      <c r="BQ150" s="315">
        <f t="shared" si="306"/>
        <v>0</v>
      </c>
      <c r="BR150" s="315">
        <f t="shared" si="306"/>
        <v>289.4461099999998</v>
      </c>
      <c r="BS150" s="315">
        <f t="shared" si="306"/>
        <v>0</v>
      </c>
      <c r="BT150" s="315">
        <f t="shared" si="306"/>
        <v>308.949</v>
      </c>
      <c r="BV150" s="305"/>
      <c r="BW150" s="349" t="s">
        <v>291</v>
      </c>
      <c r="BY150" s="223">
        <f>SUM(BY151:BY164)</f>
        <v>446.6</v>
      </c>
      <c r="BZ150" s="223">
        <f>SUM(BZ151:BZ164)</f>
        <v>12</v>
      </c>
      <c r="CA150" s="315">
        <f>SUM(CA151:CA164)</f>
        <v>1</v>
      </c>
      <c r="CB150" s="223">
        <f>SUM(CB151:CB164)</f>
        <v>0</v>
      </c>
      <c r="CC150" s="223">
        <f>SUM(CC151:CC164)</f>
        <v>0</v>
      </c>
    </row>
    <row r="151" spans="1:81" s="229" customFormat="1" ht="24" customHeight="1">
      <c r="A151" s="230">
        <v>118</v>
      </c>
      <c r="B151" s="239" t="s">
        <v>169</v>
      </c>
      <c r="C151" s="232">
        <f aca="true" t="shared" si="307" ref="C151:C164">E151+D151+F151</f>
        <v>2100.621</v>
      </c>
      <c r="D151" s="233"/>
      <c r="E151" s="232">
        <f aca="true" t="shared" si="308" ref="E151:E164">M151</f>
        <v>2100.621</v>
      </c>
      <c r="F151" s="233"/>
      <c r="G151" s="232"/>
      <c r="H151" s="232">
        <f aca="true" t="shared" si="309" ref="H151:H164">I151+J151+K151</f>
        <v>2559.2705800000003</v>
      </c>
      <c r="I151" s="233"/>
      <c r="J151" s="232">
        <f aca="true" t="shared" si="310" ref="J151:J164">AL151</f>
        <v>2100.621</v>
      </c>
      <c r="K151" s="232">
        <f aca="true" t="shared" si="311" ref="K151:K164">BF151</f>
        <v>458.64958</v>
      </c>
      <c r="L151" s="240"/>
      <c r="M151" s="232">
        <f t="shared" si="300"/>
        <v>2100.621</v>
      </c>
      <c r="N151" s="232"/>
      <c r="O151" s="232">
        <v>1175.502</v>
      </c>
      <c r="P151" s="232"/>
      <c r="Q151" s="232">
        <f>1019.87-94.751</f>
        <v>925.119</v>
      </c>
      <c r="R151" s="234">
        <f aca="true" t="shared" si="312" ref="R151:R164">S151+T151+U151+V151</f>
        <v>2100.621</v>
      </c>
      <c r="S151" s="232"/>
      <c r="T151" s="232">
        <v>1175.502</v>
      </c>
      <c r="U151" s="232"/>
      <c r="V151" s="235">
        <v>925.119</v>
      </c>
      <c r="W151" s="232">
        <f aca="true" t="shared" si="313" ref="W151:W164">X151+Y151+Z151+AA151</f>
        <v>0</v>
      </c>
      <c r="X151" s="232">
        <f aca="true" t="shared" si="314" ref="X151:AA162">N151-S151</f>
        <v>0</v>
      </c>
      <c r="Y151" s="232">
        <f t="shared" si="314"/>
        <v>0</v>
      </c>
      <c r="Z151" s="232">
        <f t="shared" si="314"/>
        <v>0</v>
      </c>
      <c r="AA151" s="232">
        <f t="shared" si="314"/>
        <v>0</v>
      </c>
      <c r="AB151" s="232">
        <f aca="true" t="shared" si="315" ref="AB151:AB164">AC151+AD151+AE151+AF151</f>
        <v>2100.621</v>
      </c>
      <c r="AC151" s="232"/>
      <c r="AD151" s="232">
        <f aca="true" t="shared" si="316" ref="AD151:AF164">T151</f>
        <v>1175.502</v>
      </c>
      <c r="AE151" s="232">
        <f t="shared" si="316"/>
        <v>0</v>
      </c>
      <c r="AF151" s="232">
        <f t="shared" si="316"/>
        <v>925.119</v>
      </c>
      <c r="AG151" s="232">
        <f aca="true" t="shared" si="317" ref="AG151:AG164">AH151+AI151+AJ151+AK151</f>
        <v>0</v>
      </c>
      <c r="AH151" s="232"/>
      <c r="AI151" s="232"/>
      <c r="AJ151" s="232"/>
      <c r="AK151" s="236"/>
      <c r="AL151" s="234">
        <f aca="true" t="shared" si="318" ref="AL151:AL164">AM151+AN151+AO151+AP151</f>
        <v>2100.621</v>
      </c>
      <c r="AM151" s="232"/>
      <c r="AN151" s="232">
        <f aca="true" t="shared" si="319" ref="AN151:AN164">AD151</f>
        <v>1175.502</v>
      </c>
      <c r="AO151" s="232"/>
      <c r="AP151" s="235">
        <f aca="true" t="shared" si="320" ref="AP151:AP161">AF151</f>
        <v>925.119</v>
      </c>
      <c r="AQ151" s="232">
        <f aca="true" t="shared" si="321" ref="AQ151:AQ162">AR151+AS151+AT151+AU151</f>
        <v>2012.8069999999998</v>
      </c>
      <c r="AR151" s="232"/>
      <c r="AS151" s="232">
        <v>1175.502</v>
      </c>
      <c r="AT151" s="232"/>
      <c r="AU151" s="232">
        <f>837.305</f>
        <v>837.305</v>
      </c>
      <c r="AV151" s="232">
        <f aca="true" t="shared" si="322" ref="AV151:AV164">AW151+AX151+AY151+AZ151</f>
        <v>2012.8069999999998</v>
      </c>
      <c r="AW151" s="232"/>
      <c r="AX151" s="232">
        <v>1175.502</v>
      </c>
      <c r="AY151" s="232"/>
      <c r="AZ151" s="232">
        <f>837.305</f>
        <v>837.305</v>
      </c>
      <c r="BA151" s="232">
        <f aca="true" t="shared" si="323" ref="BA151:BA162">BB151+BC151+BD151+BE151</f>
        <v>458.64958</v>
      </c>
      <c r="BB151" s="232"/>
      <c r="BC151" s="232">
        <v>414.5804</v>
      </c>
      <c r="BD151" s="232"/>
      <c r="BE151" s="232">
        <v>44.06918</v>
      </c>
      <c r="BF151" s="232">
        <f aca="true" t="shared" si="324" ref="BF151:BF164">BG151+BH151+BI151+BJ151</f>
        <v>458.64958</v>
      </c>
      <c r="BG151" s="232"/>
      <c r="BH151" s="232">
        <v>414.5804</v>
      </c>
      <c r="BI151" s="232"/>
      <c r="BJ151" s="232">
        <v>44.06918</v>
      </c>
      <c r="BK151" s="232">
        <f aca="true" t="shared" si="325" ref="BK151:BK164">BL151+BM151+BN151+BO151</f>
        <v>2471.45658</v>
      </c>
      <c r="BL151" s="232">
        <f aca="true" t="shared" si="326" ref="BL151:BL162">AW151+BG151</f>
        <v>0</v>
      </c>
      <c r="BM151" s="232">
        <f aca="true" t="shared" si="327" ref="BM151:BM162">AX151+BH151</f>
        <v>1590.0824</v>
      </c>
      <c r="BN151" s="232">
        <f aca="true" t="shared" si="328" ref="BN151:BN162">AY151+BI151</f>
        <v>0</v>
      </c>
      <c r="BO151" s="232">
        <f aca="true" t="shared" si="329" ref="BO151:BO162">AZ151+BJ151</f>
        <v>881.3741799999999</v>
      </c>
      <c r="BP151" s="316">
        <f aca="true" t="shared" si="330" ref="BP151:BP164">BQ151+BR151+BS151+BT151</f>
        <v>87.81400000000008</v>
      </c>
      <c r="BQ151" s="317">
        <f aca="true" t="shared" si="331" ref="BQ151:BQ162">AM151-AW151</f>
        <v>0</v>
      </c>
      <c r="BR151" s="317">
        <f aca="true" t="shared" si="332" ref="BR151:BR162">AN151-AX151</f>
        <v>0</v>
      </c>
      <c r="BS151" s="317">
        <f aca="true" t="shared" si="333" ref="BS151:BS162">AO151-AY151</f>
        <v>0</v>
      </c>
      <c r="BT151" s="317">
        <f aca="true" t="shared" si="334" ref="BT151:BT162">AP151-AZ151</f>
        <v>87.81400000000008</v>
      </c>
      <c r="BU151" s="229">
        <v>1</v>
      </c>
      <c r="BV151" s="305"/>
      <c r="BW151" s="331" t="s">
        <v>240</v>
      </c>
      <c r="BY151" s="232">
        <v>87.8</v>
      </c>
      <c r="BZ151" s="232">
        <v>1</v>
      </c>
      <c r="CA151" s="317"/>
      <c r="CB151" s="232"/>
      <c r="CC151" s="232"/>
    </row>
    <row r="152" spans="1:81" s="229" customFormat="1" ht="15" customHeight="1">
      <c r="A152" s="230">
        <v>119</v>
      </c>
      <c r="B152" s="231" t="s">
        <v>170</v>
      </c>
      <c r="C152" s="232">
        <f t="shared" si="307"/>
        <v>1135.684</v>
      </c>
      <c r="D152" s="233"/>
      <c r="E152" s="232">
        <f t="shared" si="308"/>
        <v>1135.684</v>
      </c>
      <c r="F152" s="233"/>
      <c r="G152" s="232"/>
      <c r="H152" s="232">
        <f t="shared" si="309"/>
        <v>1657.6481199999998</v>
      </c>
      <c r="I152" s="233"/>
      <c r="J152" s="232">
        <f t="shared" si="310"/>
        <v>1135.684</v>
      </c>
      <c r="K152" s="232">
        <f t="shared" si="311"/>
        <v>521.96412</v>
      </c>
      <c r="L152" s="233"/>
      <c r="M152" s="232">
        <f t="shared" si="300"/>
        <v>1135.684</v>
      </c>
      <c r="N152" s="232"/>
      <c r="O152" s="232">
        <v>608.097</v>
      </c>
      <c r="P152" s="232"/>
      <c r="Q152" s="232">
        <v>527.587</v>
      </c>
      <c r="R152" s="234">
        <f t="shared" si="312"/>
        <v>1135.684</v>
      </c>
      <c r="S152" s="232"/>
      <c r="T152" s="232">
        <v>608.097</v>
      </c>
      <c r="U152" s="232"/>
      <c r="V152" s="235">
        <v>527.587</v>
      </c>
      <c r="W152" s="232">
        <f t="shared" si="313"/>
        <v>0</v>
      </c>
      <c r="X152" s="232">
        <f t="shared" si="314"/>
        <v>0</v>
      </c>
      <c r="Y152" s="232">
        <f t="shared" si="314"/>
        <v>0</v>
      </c>
      <c r="Z152" s="232">
        <f t="shared" si="314"/>
        <v>0</v>
      </c>
      <c r="AA152" s="232">
        <f t="shared" si="314"/>
        <v>0</v>
      </c>
      <c r="AB152" s="232">
        <f t="shared" si="315"/>
        <v>1135.684</v>
      </c>
      <c r="AC152" s="232"/>
      <c r="AD152" s="232">
        <f t="shared" si="316"/>
        <v>608.097</v>
      </c>
      <c r="AE152" s="232">
        <f t="shared" si="316"/>
        <v>0</v>
      </c>
      <c r="AF152" s="232">
        <f t="shared" si="316"/>
        <v>527.587</v>
      </c>
      <c r="AG152" s="232">
        <f t="shared" si="317"/>
        <v>0</v>
      </c>
      <c r="AH152" s="232"/>
      <c r="AI152" s="232"/>
      <c r="AJ152" s="232"/>
      <c r="AK152" s="236"/>
      <c r="AL152" s="234">
        <f t="shared" si="318"/>
        <v>1135.684</v>
      </c>
      <c r="AM152" s="232"/>
      <c r="AN152" s="232">
        <v>608.097</v>
      </c>
      <c r="AO152" s="232"/>
      <c r="AP152" s="235">
        <f t="shared" si="320"/>
        <v>527.587</v>
      </c>
      <c r="AQ152" s="232">
        <f t="shared" si="321"/>
        <v>1135.684</v>
      </c>
      <c r="AR152" s="232"/>
      <c r="AS152" s="232">
        <v>608.097</v>
      </c>
      <c r="AT152" s="232"/>
      <c r="AU152" s="232">
        <v>527.587</v>
      </c>
      <c r="AV152" s="232">
        <f t="shared" si="322"/>
        <v>1135.684</v>
      </c>
      <c r="AW152" s="232"/>
      <c r="AX152" s="232">
        <v>608.097</v>
      </c>
      <c r="AY152" s="232"/>
      <c r="AZ152" s="232">
        <v>527.587</v>
      </c>
      <c r="BA152" s="232">
        <f t="shared" si="323"/>
        <v>521.96412</v>
      </c>
      <c r="BB152" s="232"/>
      <c r="BC152" s="232">
        <v>329.96412</v>
      </c>
      <c r="BD152" s="232"/>
      <c r="BE152" s="232">
        <v>192</v>
      </c>
      <c r="BF152" s="232">
        <f t="shared" si="324"/>
        <v>521.96412</v>
      </c>
      <c r="BG152" s="232"/>
      <c r="BH152" s="232">
        <v>329.96412</v>
      </c>
      <c r="BI152" s="232"/>
      <c r="BJ152" s="232">
        <v>192</v>
      </c>
      <c r="BK152" s="232">
        <f t="shared" si="325"/>
        <v>1657.6481199999998</v>
      </c>
      <c r="BL152" s="232">
        <f t="shared" si="326"/>
        <v>0</v>
      </c>
      <c r="BM152" s="232">
        <f t="shared" si="327"/>
        <v>938.06112</v>
      </c>
      <c r="BN152" s="232">
        <f t="shared" si="328"/>
        <v>0</v>
      </c>
      <c r="BO152" s="232">
        <f t="shared" si="329"/>
        <v>719.587</v>
      </c>
      <c r="BP152" s="316">
        <f t="shared" si="330"/>
        <v>0</v>
      </c>
      <c r="BQ152" s="317">
        <f t="shared" si="331"/>
        <v>0</v>
      </c>
      <c r="BR152" s="317">
        <f t="shared" si="332"/>
        <v>0</v>
      </c>
      <c r="BS152" s="317">
        <f t="shared" si="333"/>
        <v>0</v>
      </c>
      <c r="BT152" s="317">
        <f t="shared" si="334"/>
        <v>0</v>
      </c>
      <c r="BU152" s="229">
        <v>1</v>
      </c>
      <c r="BV152" s="305"/>
      <c r="BW152" s="331" t="s">
        <v>228</v>
      </c>
      <c r="BY152" s="232"/>
      <c r="BZ152" s="232">
        <v>1</v>
      </c>
      <c r="CA152" s="317"/>
      <c r="CB152" s="232"/>
      <c r="CC152" s="232"/>
    </row>
    <row r="153" spans="1:81" s="229" customFormat="1" ht="15" customHeight="1">
      <c r="A153" s="230">
        <v>120</v>
      </c>
      <c r="B153" s="239" t="s">
        <v>171</v>
      </c>
      <c r="C153" s="232">
        <f t="shared" si="307"/>
        <v>1112.971</v>
      </c>
      <c r="D153" s="233"/>
      <c r="E153" s="232">
        <f t="shared" si="308"/>
        <v>1112.971</v>
      </c>
      <c r="F153" s="233"/>
      <c r="G153" s="232"/>
      <c r="H153" s="232">
        <f t="shared" si="309"/>
        <v>1677.1216</v>
      </c>
      <c r="I153" s="233"/>
      <c r="J153" s="232">
        <f t="shared" si="310"/>
        <v>1112.971</v>
      </c>
      <c r="K153" s="232">
        <f t="shared" si="311"/>
        <v>564.1506</v>
      </c>
      <c r="L153" s="240"/>
      <c r="M153" s="232">
        <f t="shared" si="300"/>
        <v>1112.971</v>
      </c>
      <c r="N153" s="232"/>
      <c r="O153" s="232">
        <v>1112.971</v>
      </c>
      <c r="P153" s="232"/>
      <c r="Q153" s="232"/>
      <c r="R153" s="234">
        <f t="shared" si="312"/>
        <v>1112.971</v>
      </c>
      <c r="S153" s="232"/>
      <c r="T153" s="232">
        <v>1112.971</v>
      </c>
      <c r="U153" s="232"/>
      <c r="V153" s="235"/>
      <c r="W153" s="232">
        <f t="shared" si="313"/>
        <v>0</v>
      </c>
      <c r="X153" s="232">
        <f t="shared" si="314"/>
        <v>0</v>
      </c>
      <c r="Y153" s="232">
        <f t="shared" si="314"/>
        <v>0</v>
      </c>
      <c r="Z153" s="232">
        <f t="shared" si="314"/>
        <v>0</v>
      </c>
      <c r="AA153" s="232">
        <f t="shared" si="314"/>
        <v>0</v>
      </c>
      <c r="AB153" s="232">
        <f t="shared" si="315"/>
        <v>1112.971</v>
      </c>
      <c r="AC153" s="232"/>
      <c r="AD153" s="232">
        <f t="shared" si="316"/>
        <v>1112.971</v>
      </c>
      <c r="AE153" s="232">
        <f t="shared" si="316"/>
        <v>0</v>
      </c>
      <c r="AF153" s="232">
        <f t="shared" si="316"/>
        <v>0</v>
      </c>
      <c r="AG153" s="232">
        <f t="shared" si="317"/>
        <v>0</v>
      </c>
      <c r="AH153" s="232"/>
      <c r="AI153" s="232"/>
      <c r="AJ153" s="232"/>
      <c r="AK153" s="236"/>
      <c r="AL153" s="234">
        <f t="shared" si="318"/>
        <v>1112.971</v>
      </c>
      <c r="AM153" s="232"/>
      <c r="AN153" s="232">
        <f t="shared" si="319"/>
        <v>1112.971</v>
      </c>
      <c r="AO153" s="232"/>
      <c r="AP153" s="235"/>
      <c r="AQ153" s="232">
        <f t="shared" si="321"/>
        <v>1112.971</v>
      </c>
      <c r="AR153" s="232"/>
      <c r="AS153" s="232">
        <f>595.935+517.036</f>
        <v>1112.971</v>
      </c>
      <c r="AT153" s="232"/>
      <c r="AU153" s="232"/>
      <c r="AV153" s="232">
        <f t="shared" si="322"/>
        <v>1112.971</v>
      </c>
      <c r="AW153" s="232"/>
      <c r="AX153" s="232">
        <f>595.935+517.036</f>
        <v>1112.971</v>
      </c>
      <c r="AY153" s="232"/>
      <c r="AZ153" s="232"/>
      <c r="BA153" s="232">
        <f t="shared" si="323"/>
        <v>564.1506</v>
      </c>
      <c r="BB153" s="232"/>
      <c r="BC153" s="232">
        <v>564.1506</v>
      </c>
      <c r="BD153" s="232"/>
      <c r="BE153" s="232"/>
      <c r="BF153" s="232">
        <f t="shared" si="324"/>
        <v>564.1506</v>
      </c>
      <c r="BG153" s="232"/>
      <c r="BH153" s="232">
        <v>564.1506</v>
      </c>
      <c r="BI153" s="232"/>
      <c r="BJ153" s="232"/>
      <c r="BK153" s="232">
        <f t="shared" si="325"/>
        <v>1677.1216</v>
      </c>
      <c r="BL153" s="232">
        <f t="shared" si="326"/>
        <v>0</v>
      </c>
      <c r="BM153" s="232">
        <f t="shared" si="327"/>
        <v>1677.1216</v>
      </c>
      <c r="BN153" s="232">
        <f t="shared" si="328"/>
        <v>0</v>
      </c>
      <c r="BO153" s="232">
        <f t="shared" si="329"/>
        <v>0</v>
      </c>
      <c r="BP153" s="316">
        <f t="shared" si="330"/>
        <v>0</v>
      </c>
      <c r="BQ153" s="317">
        <f t="shared" si="331"/>
        <v>0</v>
      </c>
      <c r="BR153" s="317">
        <f t="shared" si="332"/>
        <v>0</v>
      </c>
      <c r="BS153" s="317">
        <f t="shared" si="333"/>
        <v>0</v>
      </c>
      <c r="BT153" s="317">
        <f t="shared" si="334"/>
        <v>0</v>
      </c>
      <c r="BU153" s="229">
        <v>1</v>
      </c>
      <c r="BV153" s="305"/>
      <c r="BW153" s="331" t="s">
        <v>228</v>
      </c>
      <c r="BY153" s="232"/>
      <c r="BZ153" s="232">
        <v>1</v>
      </c>
      <c r="CA153" s="317"/>
      <c r="CB153" s="232"/>
      <c r="CC153" s="232"/>
    </row>
    <row r="154" spans="1:81" s="229" customFormat="1" ht="23.25" customHeight="1">
      <c r="A154" s="230">
        <v>121</v>
      </c>
      <c r="B154" s="239" t="s">
        <v>172</v>
      </c>
      <c r="C154" s="232">
        <f t="shared" si="307"/>
        <v>4821.995</v>
      </c>
      <c r="D154" s="233"/>
      <c r="E154" s="232">
        <f t="shared" si="308"/>
        <v>4821.995</v>
      </c>
      <c r="F154" s="233"/>
      <c r="G154" s="232"/>
      <c r="H154" s="232">
        <f t="shared" si="309"/>
        <v>5066.92822</v>
      </c>
      <c r="I154" s="233"/>
      <c r="J154" s="232">
        <f t="shared" si="310"/>
        <v>4821.995</v>
      </c>
      <c r="K154" s="232">
        <f t="shared" si="311"/>
        <v>244.93322</v>
      </c>
      <c r="L154" s="240"/>
      <c r="M154" s="232">
        <f t="shared" si="300"/>
        <v>4821.995</v>
      </c>
      <c r="N154" s="232"/>
      <c r="O154" s="232">
        <v>3926.951</v>
      </c>
      <c r="P154" s="232"/>
      <c r="Q154" s="232">
        <f>896.044-1</f>
        <v>895.044</v>
      </c>
      <c r="R154" s="234">
        <f t="shared" si="312"/>
        <v>4821.995</v>
      </c>
      <c r="S154" s="232"/>
      <c r="T154" s="232">
        <v>3926.951</v>
      </c>
      <c r="U154" s="232"/>
      <c r="V154" s="235">
        <v>895.044</v>
      </c>
      <c r="W154" s="232">
        <f t="shared" si="313"/>
        <v>0</v>
      </c>
      <c r="X154" s="232">
        <f t="shared" si="314"/>
        <v>0</v>
      </c>
      <c r="Y154" s="232">
        <f t="shared" si="314"/>
        <v>0</v>
      </c>
      <c r="Z154" s="232">
        <f t="shared" si="314"/>
        <v>0</v>
      </c>
      <c r="AA154" s="232">
        <f t="shared" si="314"/>
        <v>0</v>
      </c>
      <c r="AB154" s="232">
        <f t="shared" si="315"/>
        <v>4821.995</v>
      </c>
      <c r="AC154" s="232"/>
      <c r="AD154" s="232">
        <f t="shared" si="316"/>
        <v>3926.951</v>
      </c>
      <c r="AE154" s="232">
        <f t="shared" si="316"/>
        <v>0</v>
      </c>
      <c r="AF154" s="232">
        <f t="shared" si="316"/>
        <v>895.044</v>
      </c>
      <c r="AG154" s="232">
        <f t="shared" si="317"/>
        <v>0</v>
      </c>
      <c r="AH154" s="232"/>
      <c r="AI154" s="232"/>
      <c r="AJ154" s="232"/>
      <c r="AK154" s="236"/>
      <c r="AL154" s="234">
        <f t="shared" si="318"/>
        <v>4821.995</v>
      </c>
      <c r="AM154" s="232"/>
      <c r="AN154" s="232">
        <f t="shared" si="319"/>
        <v>3926.951</v>
      </c>
      <c r="AO154" s="232"/>
      <c r="AP154" s="235">
        <f t="shared" si="320"/>
        <v>895.044</v>
      </c>
      <c r="AQ154" s="232">
        <f t="shared" si="321"/>
        <v>4557.669</v>
      </c>
      <c r="AR154" s="232"/>
      <c r="AS154" s="232">
        <f>3729.103</f>
        <v>3729.103</v>
      </c>
      <c r="AT154" s="232"/>
      <c r="AU154" s="232">
        <v>828.566</v>
      </c>
      <c r="AV154" s="232">
        <f t="shared" si="322"/>
        <v>4557.669</v>
      </c>
      <c r="AW154" s="232"/>
      <c r="AX154" s="232">
        <f>3729.103</f>
        <v>3729.103</v>
      </c>
      <c r="AY154" s="232"/>
      <c r="AZ154" s="232">
        <v>828.566</v>
      </c>
      <c r="BA154" s="232">
        <f t="shared" si="323"/>
        <v>244.93322</v>
      </c>
      <c r="BB154" s="232"/>
      <c r="BC154" s="232">
        <v>200.40533</v>
      </c>
      <c r="BD154" s="232"/>
      <c r="BE154" s="232">
        <v>44.52789</v>
      </c>
      <c r="BF154" s="232">
        <f t="shared" si="324"/>
        <v>244.93322</v>
      </c>
      <c r="BG154" s="232"/>
      <c r="BH154" s="232">
        <v>200.40533</v>
      </c>
      <c r="BI154" s="232"/>
      <c r="BJ154" s="232">
        <v>44.52789</v>
      </c>
      <c r="BK154" s="232">
        <f t="shared" si="325"/>
        <v>4802.60222</v>
      </c>
      <c r="BL154" s="232">
        <f t="shared" si="326"/>
        <v>0</v>
      </c>
      <c r="BM154" s="232">
        <f t="shared" si="327"/>
        <v>3929.50833</v>
      </c>
      <c r="BN154" s="232">
        <f t="shared" si="328"/>
        <v>0</v>
      </c>
      <c r="BO154" s="232">
        <f t="shared" si="329"/>
        <v>873.09389</v>
      </c>
      <c r="BP154" s="316">
        <f t="shared" si="330"/>
        <v>264.3259999999999</v>
      </c>
      <c r="BQ154" s="317">
        <f t="shared" si="331"/>
        <v>0</v>
      </c>
      <c r="BR154" s="317">
        <f t="shared" si="332"/>
        <v>197.84799999999996</v>
      </c>
      <c r="BS154" s="317">
        <f t="shared" si="333"/>
        <v>0</v>
      </c>
      <c r="BT154" s="317">
        <f t="shared" si="334"/>
        <v>66.47799999999995</v>
      </c>
      <c r="BU154" s="229">
        <v>1</v>
      </c>
      <c r="BV154" s="305"/>
      <c r="BW154" s="331" t="s">
        <v>239</v>
      </c>
      <c r="BY154" s="232">
        <v>264.3</v>
      </c>
      <c r="BZ154" s="232">
        <v>1</v>
      </c>
      <c r="CA154" s="317"/>
      <c r="CB154" s="232"/>
      <c r="CC154" s="232"/>
    </row>
    <row r="155" spans="1:81" s="229" customFormat="1" ht="15" customHeight="1">
      <c r="A155" s="230">
        <v>122</v>
      </c>
      <c r="B155" s="239" t="s">
        <v>173</v>
      </c>
      <c r="C155" s="232">
        <f t="shared" si="307"/>
        <v>5174.386</v>
      </c>
      <c r="D155" s="233"/>
      <c r="E155" s="232">
        <f t="shared" si="308"/>
        <v>5174.386</v>
      </c>
      <c r="F155" s="233"/>
      <c r="G155" s="232"/>
      <c r="H155" s="232">
        <f t="shared" si="309"/>
        <v>6005.245000000001</v>
      </c>
      <c r="I155" s="233"/>
      <c r="J155" s="232">
        <f t="shared" si="310"/>
        <v>5174.386</v>
      </c>
      <c r="K155" s="232">
        <f t="shared" si="311"/>
        <v>830.859</v>
      </c>
      <c r="L155" s="240"/>
      <c r="M155" s="232">
        <f t="shared" si="300"/>
        <v>5174.386</v>
      </c>
      <c r="N155" s="232"/>
      <c r="O155" s="232">
        <v>2770.602</v>
      </c>
      <c r="P155" s="232"/>
      <c r="Q155" s="232">
        <v>2403.784</v>
      </c>
      <c r="R155" s="234">
        <f t="shared" si="312"/>
        <v>5174.386</v>
      </c>
      <c r="S155" s="232"/>
      <c r="T155" s="232">
        <v>2770.602</v>
      </c>
      <c r="U155" s="232"/>
      <c r="V155" s="235">
        <v>2403.784</v>
      </c>
      <c r="W155" s="232">
        <f t="shared" si="313"/>
        <v>0</v>
      </c>
      <c r="X155" s="232">
        <f t="shared" si="314"/>
        <v>0</v>
      </c>
      <c r="Y155" s="232">
        <f t="shared" si="314"/>
        <v>0</v>
      </c>
      <c r="Z155" s="232">
        <f t="shared" si="314"/>
        <v>0</v>
      </c>
      <c r="AA155" s="232">
        <f t="shared" si="314"/>
        <v>0</v>
      </c>
      <c r="AB155" s="232">
        <f t="shared" si="315"/>
        <v>5174.386</v>
      </c>
      <c r="AC155" s="232"/>
      <c r="AD155" s="232">
        <f t="shared" si="316"/>
        <v>2770.602</v>
      </c>
      <c r="AE155" s="232">
        <f t="shared" si="316"/>
        <v>0</v>
      </c>
      <c r="AF155" s="232">
        <f t="shared" si="316"/>
        <v>2403.784</v>
      </c>
      <c r="AG155" s="232">
        <f t="shared" si="317"/>
        <v>0</v>
      </c>
      <c r="AH155" s="232"/>
      <c r="AI155" s="232"/>
      <c r="AJ155" s="232"/>
      <c r="AK155" s="236"/>
      <c r="AL155" s="234">
        <f t="shared" si="318"/>
        <v>5174.386</v>
      </c>
      <c r="AM155" s="232"/>
      <c r="AN155" s="232">
        <f t="shared" si="319"/>
        <v>2770.602</v>
      </c>
      <c r="AO155" s="232"/>
      <c r="AP155" s="235">
        <f t="shared" si="320"/>
        <v>2403.784</v>
      </c>
      <c r="AQ155" s="232">
        <f t="shared" si="321"/>
        <v>5174.386</v>
      </c>
      <c r="AR155" s="232"/>
      <c r="AS155" s="232">
        <v>2770.602</v>
      </c>
      <c r="AT155" s="232"/>
      <c r="AU155" s="232">
        <v>2403.784</v>
      </c>
      <c r="AV155" s="232">
        <f t="shared" si="322"/>
        <v>5174.386</v>
      </c>
      <c r="AW155" s="232"/>
      <c r="AX155" s="232">
        <v>2770.602</v>
      </c>
      <c r="AY155" s="232"/>
      <c r="AZ155" s="232">
        <v>2403.784</v>
      </c>
      <c r="BA155" s="232">
        <f t="shared" si="323"/>
        <v>830.859</v>
      </c>
      <c r="BB155" s="232"/>
      <c r="BC155" s="232">
        <v>238.667</v>
      </c>
      <c r="BD155" s="232"/>
      <c r="BE155" s="232">
        <v>592.192</v>
      </c>
      <c r="BF155" s="232">
        <f t="shared" si="324"/>
        <v>830.859</v>
      </c>
      <c r="BG155" s="232"/>
      <c r="BH155" s="232">
        <v>238.667</v>
      </c>
      <c r="BI155" s="232"/>
      <c r="BJ155" s="232">
        <v>592.192</v>
      </c>
      <c r="BK155" s="232">
        <f t="shared" si="325"/>
        <v>6005.245</v>
      </c>
      <c r="BL155" s="232">
        <f t="shared" si="326"/>
        <v>0</v>
      </c>
      <c r="BM155" s="232">
        <f t="shared" si="327"/>
        <v>3009.269</v>
      </c>
      <c r="BN155" s="232">
        <f t="shared" si="328"/>
        <v>0</v>
      </c>
      <c r="BO155" s="232">
        <f t="shared" si="329"/>
        <v>2995.976</v>
      </c>
      <c r="BP155" s="316">
        <f t="shared" si="330"/>
        <v>0</v>
      </c>
      <c r="BQ155" s="317">
        <f t="shared" si="331"/>
        <v>0</v>
      </c>
      <c r="BR155" s="317">
        <f t="shared" si="332"/>
        <v>0</v>
      </c>
      <c r="BS155" s="317">
        <f t="shared" si="333"/>
        <v>0</v>
      </c>
      <c r="BT155" s="317">
        <f t="shared" si="334"/>
        <v>0</v>
      </c>
      <c r="BU155" s="229">
        <v>1</v>
      </c>
      <c r="BV155" s="305"/>
      <c r="BW155" s="331" t="s">
        <v>228</v>
      </c>
      <c r="BY155" s="232"/>
      <c r="BZ155" s="232">
        <v>1</v>
      </c>
      <c r="CA155" s="317"/>
      <c r="CB155" s="232"/>
      <c r="CC155" s="232"/>
    </row>
    <row r="156" spans="1:81" s="229" customFormat="1" ht="15" customHeight="1">
      <c r="A156" s="230">
        <v>123</v>
      </c>
      <c r="B156" s="239" t="s">
        <v>174</v>
      </c>
      <c r="C156" s="232">
        <f t="shared" si="307"/>
        <v>1543.498</v>
      </c>
      <c r="D156" s="233"/>
      <c r="E156" s="232">
        <f t="shared" si="308"/>
        <v>1543.498</v>
      </c>
      <c r="F156" s="233"/>
      <c r="G156" s="232"/>
      <c r="H156" s="232">
        <f t="shared" si="309"/>
        <v>2178.22373</v>
      </c>
      <c r="I156" s="233"/>
      <c r="J156" s="232">
        <f t="shared" si="310"/>
        <v>1543.498</v>
      </c>
      <c r="K156" s="232">
        <f t="shared" si="311"/>
        <v>634.72573</v>
      </c>
      <c r="L156" s="240"/>
      <c r="M156" s="232">
        <f t="shared" si="300"/>
        <v>1543.498</v>
      </c>
      <c r="N156" s="232"/>
      <c r="O156" s="232">
        <v>826.459</v>
      </c>
      <c r="P156" s="232"/>
      <c r="Q156" s="232">
        <v>717.039</v>
      </c>
      <c r="R156" s="234">
        <f t="shared" si="312"/>
        <v>1543.498</v>
      </c>
      <c r="S156" s="232"/>
      <c r="T156" s="232">
        <v>826.459</v>
      </c>
      <c r="U156" s="232"/>
      <c r="V156" s="235">
        <v>717.039</v>
      </c>
      <c r="W156" s="232">
        <f t="shared" si="313"/>
        <v>0</v>
      </c>
      <c r="X156" s="232">
        <f t="shared" si="314"/>
        <v>0</v>
      </c>
      <c r="Y156" s="232">
        <f t="shared" si="314"/>
        <v>0</v>
      </c>
      <c r="Z156" s="232">
        <f t="shared" si="314"/>
        <v>0</v>
      </c>
      <c r="AA156" s="232">
        <f t="shared" si="314"/>
        <v>0</v>
      </c>
      <c r="AB156" s="232">
        <f t="shared" si="315"/>
        <v>1543.498</v>
      </c>
      <c r="AC156" s="232"/>
      <c r="AD156" s="232">
        <f t="shared" si="316"/>
        <v>826.459</v>
      </c>
      <c r="AE156" s="232">
        <f t="shared" si="316"/>
        <v>0</v>
      </c>
      <c r="AF156" s="232">
        <f t="shared" si="316"/>
        <v>717.039</v>
      </c>
      <c r="AG156" s="232">
        <f t="shared" si="317"/>
        <v>0</v>
      </c>
      <c r="AH156" s="232"/>
      <c r="AI156" s="232"/>
      <c r="AJ156" s="232"/>
      <c r="AK156" s="236"/>
      <c r="AL156" s="234">
        <f t="shared" si="318"/>
        <v>1543.498</v>
      </c>
      <c r="AM156" s="232"/>
      <c r="AN156" s="232">
        <f t="shared" si="319"/>
        <v>826.459</v>
      </c>
      <c r="AO156" s="232"/>
      <c r="AP156" s="235">
        <f t="shared" si="320"/>
        <v>717.039</v>
      </c>
      <c r="AQ156" s="232">
        <f t="shared" si="321"/>
        <v>1543.498</v>
      </c>
      <c r="AR156" s="232"/>
      <c r="AS156" s="232">
        <v>826.459</v>
      </c>
      <c r="AT156" s="232"/>
      <c r="AU156" s="232">
        <v>717.039</v>
      </c>
      <c r="AV156" s="232">
        <f t="shared" si="322"/>
        <v>1543.498</v>
      </c>
      <c r="AW156" s="232"/>
      <c r="AX156" s="232">
        <v>826.459</v>
      </c>
      <c r="AY156" s="232"/>
      <c r="AZ156" s="232">
        <v>717.039</v>
      </c>
      <c r="BA156" s="232">
        <f t="shared" si="323"/>
        <v>634.72573</v>
      </c>
      <c r="BB156" s="232"/>
      <c r="BC156" s="232">
        <v>285.0625</v>
      </c>
      <c r="BD156" s="232"/>
      <c r="BE156" s="232">
        <v>349.66323</v>
      </c>
      <c r="BF156" s="232">
        <f t="shared" si="324"/>
        <v>634.72573</v>
      </c>
      <c r="BG156" s="232"/>
      <c r="BH156" s="232">
        <v>285.0625</v>
      </c>
      <c r="BI156" s="232"/>
      <c r="BJ156" s="232">
        <v>349.66323</v>
      </c>
      <c r="BK156" s="232">
        <f t="shared" si="325"/>
        <v>2178.2237299999997</v>
      </c>
      <c r="BL156" s="232">
        <f t="shared" si="326"/>
        <v>0</v>
      </c>
      <c r="BM156" s="232">
        <f t="shared" si="327"/>
        <v>1111.5214999999998</v>
      </c>
      <c r="BN156" s="232">
        <f t="shared" si="328"/>
        <v>0</v>
      </c>
      <c r="BO156" s="232">
        <f t="shared" si="329"/>
        <v>1066.7022299999999</v>
      </c>
      <c r="BP156" s="316">
        <f t="shared" si="330"/>
        <v>0</v>
      </c>
      <c r="BQ156" s="317">
        <f t="shared" si="331"/>
        <v>0</v>
      </c>
      <c r="BR156" s="317">
        <f t="shared" si="332"/>
        <v>0</v>
      </c>
      <c r="BS156" s="317">
        <f t="shared" si="333"/>
        <v>0</v>
      </c>
      <c r="BT156" s="317">
        <f t="shared" si="334"/>
        <v>0</v>
      </c>
      <c r="BU156" s="229">
        <v>1</v>
      </c>
      <c r="BV156" s="305"/>
      <c r="BW156" s="331" t="s">
        <v>228</v>
      </c>
      <c r="BY156" s="232"/>
      <c r="BZ156" s="232">
        <v>1</v>
      </c>
      <c r="CA156" s="317"/>
      <c r="CB156" s="232"/>
      <c r="CC156" s="232"/>
    </row>
    <row r="157" spans="1:81" s="229" customFormat="1" ht="15" customHeight="1">
      <c r="A157" s="230">
        <v>124</v>
      </c>
      <c r="B157" s="239" t="s">
        <v>175</v>
      </c>
      <c r="C157" s="232">
        <f t="shared" si="307"/>
        <v>1615.77</v>
      </c>
      <c r="D157" s="233"/>
      <c r="E157" s="232">
        <f t="shared" si="308"/>
        <v>1615.77</v>
      </c>
      <c r="F157" s="233"/>
      <c r="G157" s="232"/>
      <c r="H157" s="232">
        <f t="shared" si="309"/>
        <v>2671.9030000000002</v>
      </c>
      <c r="I157" s="233"/>
      <c r="J157" s="232">
        <f t="shared" si="310"/>
        <v>1615.77</v>
      </c>
      <c r="K157" s="232">
        <f t="shared" si="311"/>
        <v>1056.133</v>
      </c>
      <c r="L157" s="240"/>
      <c r="M157" s="232">
        <f t="shared" si="300"/>
        <v>1615.77</v>
      </c>
      <c r="N157" s="232"/>
      <c r="O157" s="232">
        <v>1215.757</v>
      </c>
      <c r="P157" s="232"/>
      <c r="Q157" s="232">
        <v>400.013</v>
      </c>
      <c r="R157" s="234">
        <f t="shared" si="312"/>
        <v>1615.77</v>
      </c>
      <c r="S157" s="232"/>
      <c r="T157" s="232">
        <v>1215.757</v>
      </c>
      <c r="U157" s="232"/>
      <c r="V157" s="235">
        <v>400.013</v>
      </c>
      <c r="W157" s="232">
        <f t="shared" si="313"/>
        <v>0</v>
      </c>
      <c r="X157" s="232">
        <f t="shared" si="314"/>
        <v>0</v>
      </c>
      <c r="Y157" s="232">
        <f t="shared" si="314"/>
        <v>0</v>
      </c>
      <c r="Z157" s="232">
        <f t="shared" si="314"/>
        <v>0</v>
      </c>
      <c r="AA157" s="232">
        <f t="shared" si="314"/>
        <v>0</v>
      </c>
      <c r="AB157" s="232">
        <f t="shared" si="315"/>
        <v>1615.77</v>
      </c>
      <c r="AC157" s="232"/>
      <c r="AD157" s="232">
        <f t="shared" si="316"/>
        <v>1215.757</v>
      </c>
      <c r="AE157" s="232">
        <f t="shared" si="316"/>
        <v>0</v>
      </c>
      <c r="AF157" s="232">
        <f t="shared" si="316"/>
        <v>400.013</v>
      </c>
      <c r="AG157" s="232">
        <f t="shared" si="317"/>
        <v>0</v>
      </c>
      <c r="AH157" s="232"/>
      <c r="AI157" s="232"/>
      <c r="AJ157" s="232"/>
      <c r="AK157" s="236"/>
      <c r="AL157" s="234">
        <f t="shared" si="318"/>
        <v>1615.77</v>
      </c>
      <c r="AM157" s="232"/>
      <c r="AN157" s="232">
        <f t="shared" si="319"/>
        <v>1215.757</v>
      </c>
      <c r="AO157" s="232"/>
      <c r="AP157" s="235">
        <f t="shared" si="320"/>
        <v>400.013</v>
      </c>
      <c r="AQ157" s="232">
        <f t="shared" si="321"/>
        <v>1615.77</v>
      </c>
      <c r="AR157" s="232"/>
      <c r="AS157" s="232">
        <v>1215.757</v>
      </c>
      <c r="AT157" s="232"/>
      <c r="AU157" s="232">
        <v>400.013</v>
      </c>
      <c r="AV157" s="232">
        <f t="shared" si="322"/>
        <v>1615.77</v>
      </c>
      <c r="AW157" s="232"/>
      <c r="AX157" s="232">
        <v>1215.757</v>
      </c>
      <c r="AY157" s="232"/>
      <c r="AZ157" s="232">
        <v>400.013</v>
      </c>
      <c r="BA157" s="232">
        <f t="shared" si="323"/>
        <v>1056.133</v>
      </c>
      <c r="BB157" s="232"/>
      <c r="BC157" s="232">
        <v>339.903</v>
      </c>
      <c r="BD157" s="232"/>
      <c r="BE157" s="232">
        <v>716.23</v>
      </c>
      <c r="BF157" s="232">
        <f t="shared" si="324"/>
        <v>1056.133</v>
      </c>
      <c r="BG157" s="232"/>
      <c r="BH157" s="232">
        <v>339.903</v>
      </c>
      <c r="BI157" s="232"/>
      <c r="BJ157" s="232">
        <v>716.23</v>
      </c>
      <c r="BK157" s="232">
        <f t="shared" si="325"/>
        <v>2671.9030000000002</v>
      </c>
      <c r="BL157" s="232">
        <f t="shared" si="326"/>
        <v>0</v>
      </c>
      <c r="BM157" s="232">
        <f t="shared" si="327"/>
        <v>1555.66</v>
      </c>
      <c r="BN157" s="232">
        <f t="shared" si="328"/>
        <v>0</v>
      </c>
      <c r="BO157" s="232">
        <f t="shared" si="329"/>
        <v>1116.243</v>
      </c>
      <c r="BP157" s="316">
        <f t="shared" si="330"/>
        <v>0</v>
      </c>
      <c r="BQ157" s="317">
        <f t="shared" si="331"/>
        <v>0</v>
      </c>
      <c r="BR157" s="317">
        <f t="shared" si="332"/>
        <v>0</v>
      </c>
      <c r="BS157" s="317">
        <f t="shared" si="333"/>
        <v>0</v>
      </c>
      <c r="BT157" s="317">
        <f t="shared" si="334"/>
        <v>0</v>
      </c>
      <c r="BU157" s="229">
        <v>1</v>
      </c>
      <c r="BV157" s="305"/>
      <c r="BW157" s="331" t="s">
        <v>228</v>
      </c>
      <c r="BY157" s="232"/>
      <c r="BZ157" s="232">
        <v>1</v>
      </c>
      <c r="CA157" s="317"/>
      <c r="CB157" s="232"/>
      <c r="CC157" s="232"/>
    </row>
    <row r="158" spans="1:81" s="229" customFormat="1" ht="12.75" customHeight="1">
      <c r="A158" s="230">
        <v>125</v>
      </c>
      <c r="B158" s="239" t="s">
        <v>176</v>
      </c>
      <c r="C158" s="232">
        <f t="shared" si="307"/>
        <v>151.753</v>
      </c>
      <c r="D158" s="233"/>
      <c r="E158" s="232">
        <f t="shared" si="308"/>
        <v>151.753</v>
      </c>
      <c r="F158" s="233"/>
      <c r="G158" s="232"/>
      <c r="H158" s="232">
        <f t="shared" si="309"/>
        <v>151.753</v>
      </c>
      <c r="I158" s="233"/>
      <c r="J158" s="232">
        <f t="shared" si="310"/>
        <v>151.753</v>
      </c>
      <c r="K158" s="232">
        <f t="shared" si="311"/>
        <v>0</v>
      </c>
      <c r="L158" s="240"/>
      <c r="M158" s="272">
        <f t="shared" si="300"/>
        <v>151.753</v>
      </c>
      <c r="N158" s="272"/>
      <c r="O158" s="272"/>
      <c r="P158" s="272"/>
      <c r="Q158" s="272">
        <v>151.753</v>
      </c>
      <c r="R158" s="234">
        <f t="shared" si="312"/>
        <v>151.753</v>
      </c>
      <c r="S158" s="273"/>
      <c r="T158" s="244"/>
      <c r="U158" s="273"/>
      <c r="V158" s="245">
        <v>151.753</v>
      </c>
      <c r="W158" s="232">
        <f t="shared" si="313"/>
        <v>0</v>
      </c>
      <c r="X158" s="232">
        <f t="shared" si="314"/>
        <v>0</v>
      </c>
      <c r="Y158" s="232">
        <f t="shared" si="314"/>
        <v>0</v>
      </c>
      <c r="Z158" s="232">
        <f t="shared" si="314"/>
        <v>0</v>
      </c>
      <c r="AA158" s="232">
        <f t="shared" si="314"/>
        <v>0</v>
      </c>
      <c r="AB158" s="232">
        <f t="shared" si="315"/>
        <v>151.753</v>
      </c>
      <c r="AC158" s="232"/>
      <c r="AD158" s="232">
        <f t="shared" si="316"/>
        <v>0</v>
      </c>
      <c r="AE158" s="232">
        <f t="shared" si="316"/>
        <v>0</v>
      </c>
      <c r="AF158" s="232">
        <f t="shared" si="316"/>
        <v>151.753</v>
      </c>
      <c r="AG158" s="232">
        <f t="shared" si="317"/>
        <v>174.911</v>
      </c>
      <c r="AH158" s="232"/>
      <c r="AI158" s="232">
        <v>174.911</v>
      </c>
      <c r="AJ158" s="232"/>
      <c r="AK158" s="236"/>
      <c r="AL158" s="234">
        <f t="shared" si="318"/>
        <v>151.753</v>
      </c>
      <c r="AM158" s="232"/>
      <c r="AN158" s="232">
        <f t="shared" si="319"/>
        <v>0</v>
      </c>
      <c r="AO158" s="232"/>
      <c r="AP158" s="235">
        <f t="shared" si="320"/>
        <v>151.753</v>
      </c>
      <c r="AQ158" s="232">
        <f t="shared" si="321"/>
        <v>0</v>
      </c>
      <c r="AR158" s="232"/>
      <c r="AS158" s="232"/>
      <c r="AT158" s="232"/>
      <c r="AU158" s="232"/>
      <c r="AV158" s="232">
        <f t="shared" si="322"/>
        <v>0</v>
      </c>
      <c r="AW158" s="232"/>
      <c r="AX158" s="232"/>
      <c r="AY158" s="232"/>
      <c r="AZ158" s="232"/>
      <c r="BA158" s="232">
        <f t="shared" si="323"/>
        <v>0</v>
      </c>
      <c r="BB158" s="232"/>
      <c r="BC158" s="232">
        <v>0</v>
      </c>
      <c r="BD158" s="232"/>
      <c r="BE158" s="232"/>
      <c r="BF158" s="232">
        <f t="shared" si="324"/>
        <v>0</v>
      </c>
      <c r="BG158" s="232"/>
      <c r="BH158" s="232">
        <v>0</v>
      </c>
      <c r="BI158" s="232"/>
      <c r="BJ158" s="232"/>
      <c r="BK158" s="232">
        <f t="shared" si="325"/>
        <v>0</v>
      </c>
      <c r="BL158" s="232">
        <f t="shared" si="326"/>
        <v>0</v>
      </c>
      <c r="BM158" s="232">
        <f t="shared" si="327"/>
        <v>0</v>
      </c>
      <c r="BN158" s="232">
        <f t="shared" si="328"/>
        <v>0</v>
      </c>
      <c r="BO158" s="232">
        <f t="shared" si="329"/>
        <v>0</v>
      </c>
      <c r="BP158" s="316">
        <f t="shared" si="330"/>
        <v>151.753</v>
      </c>
      <c r="BQ158" s="317">
        <f t="shared" si="331"/>
        <v>0</v>
      </c>
      <c r="BR158" s="317">
        <f t="shared" si="332"/>
        <v>0</v>
      </c>
      <c r="BS158" s="317">
        <f t="shared" si="333"/>
        <v>0</v>
      </c>
      <c r="BT158" s="317">
        <f t="shared" si="334"/>
        <v>151.753</v>
      </c>
      <c r="BV158" s="305">
        <v>1</v>
      </c>
      <c r="BW158" s="332" t="s">
        <v>229</v>
      </c>
      <c r="BY158" s="232"/>
      <c r="BZ158" s="232"/>
      <c r="CA158" s="317">
        <v>1</v>
      </c>
      <c r="CB158" s="232"/>
      <c r="CC158" s="232"/>
    </row>
    <row r="159" spans="1:81" s="229" customFormat="1" ht="23.25" customHeight="1">
      <c r="A159" s="230">
        <v>126</v>
      </c>
      <c r="B159" s="239" t="s">
        <v>177</v>
      </c>
      <c r="C159" s="232">
        <f t="shared" si="307"/>
        <v>10304.940999999999</v>
      </c>
      <c r="D159" s="233"/>
      <c r="E159" s="232">
        <f t="shared" si="308"/>
        <v>10304.940999999999</v>
      </c>
      <c r="F159" s="233"/>
      <c r="G159" s="232"/>
      <c r="H159" s="232">
        <f t="shared" si="309"/>
        <v>10551.11515</v>
      </c>
      <c r="I159" s="233"/>
      <c r="J159" s="232">
        <f t="shared" si="310"/>
        <v>10027.889</v>
      </c>
      <c r="K159" s="232">
        <f t="shared" si="311"/>
        <v>523.22615</v>
      </c>
      <c r="L159" s="240"/>
      <c r="M159" s="232">
        <f t="shared" si="300"/>
        <v>10304.940999999999</v>
      </c>
      <c r="N159" s="232"/>
      <c r="O159" s="232">
        <f>10027.889+277.052</f>
        <v>10304.940999999999</v>
      </c>
      <c r="P159" s="232"/>
      <c r="Q159" s="232"/>
      <c r="R159" s="234">
        <f t="shared" si="312"/>
        <v>10027.889</v>
      </c>
      <c r="S159" s="232"/>
      <c r="T159" s="232">
        <v>10027.889</v>
      </c>
      <c r="U159" s="232"/>
      <c r="V159" s="235"/>
      <c r="W159" s="232">
        <f t="shared" si="313"/>
        <v>277.0519999999997</v>
      </c>
      <c r="X159" s="232">
        <f t="shared" si="314"/>
        <v>0</v>
      </c>
      <c r="Y159" s="232">
        <f t="shared" si="314"/>
        <v>277.0519999999997</v>
      </c>
      <c r="Z159" s="232">
        <f t="shared" si="314"/>
        <v>0</v>
      </c>
      <c r="AA159" s="232">
        <f t="shared" si="314"/>
        <v>0</v>
      </c>
      <c r="AB159" s="232">
        <f t="shared" si="315"/>
        <v>10027.889</v>
      </c>
      <c r="AC159" s="232"/>
      <c r="AD159" s="232">
        <f t="shared" si="316"/>
        <v>10027.889</v>
      </c>
      <c r="AE159" s="232">
        <f t="shared" si="316"/>
        <v>0</v>
      </c>
      <c r="AF159" s="232">
        <f t="shared" si="316"/>
        <v>0</v>
      </c>
      <c r="AG159" s="232">
        <f t="shared" si="317"/>
        <v>0</v>
      </c>
      <c r="AH159" s="232"/>
      <c r="AI159" s="232"/>
      <c r="AJ159" s="232"/>
      <c r="AK159" s="236"/>
      <c r="AL159" s="234">
        <f t="shared" si="318"/>
        <v>10027.889</v>
      </c>
      <c r="AM159" s="232"/>
      <c r="AN159" s="232">
        <f t="shared" si="319"/>
        <v>10027.889</v>
      </c>
      <c r="AO159" s="232"/>
      <c r="AP159" s="235"/>
      <c r="AQ159" s="232">
        <f t="shared" si="321"/>
        <v>9941.27998</v>
      </c>
      <c r="AR159" s="232"/>
      <c r="AS159" s="232">
        <f>7119.8728+2821.40718</f>
        <v>9941.27998</v>
      </c>
      <c r="AT159" s="232"/>
      <c r="AU159" s="232"/>
      <c r="AV159" s="232">
        <f t="shared" si="322"/>
        <v>9941.27998</v>
      </c>
      <c r="AW159" s="232"/>
      <c r="AX159" s="232">
        <f>7119.8728+2821.40718</f>
        <v>9941.27998</v>
      </c>
      <c r="AY159" s="232"/>
      <c r="AZ159" s="232"/>
      <c r="BA159" s="232">
        <f t="shared" si="323"/>
        <v>523.22615</v>
      </c>
      <c r="BB159" s="232"/>
      <c r="BC159" s="232">
        <v>523.22615</v>
      </c>
      <c r="BD159" s="232"/>
      <c r="BE159" s="232"/>
      <c r="BF159" s="232">
        <f t="shared" si="324"/>
        <v>523.22615</v>
      </c>
      <c r="BG159" s="232"/>
      <c r="BH159" s="232">
        <v>523.22615</v>
      </c>
      <c r="BI159" s="232"/>
      <c r="BJ159" s="232"/>
      <c r="BK159" s="232">
        <f t="shared" si="325"/>
        <v>10464.50613</v>
      </c>
      <c r="BL159" s="232">
        <f t="shared" si="326"/>
        <v>0</v>
      </c>
      <c r="BM159" s="232">
        <f t="shared" si="327"/>
        <v>10464.50613</v>
      </c>
      <c r="BN159" s="232">
        <f t="shared" si="328"/>
        <v>0</v>
      </c>
      <c r="BO159" s="232">
        <f t="shared" si="329"/>
        <v>0</v>
      </c>
      <c r="BP159" s="316">
        <f t="shared" si="330"/>
        <v>86.60901999999987</v>
      </c>
      <c r="BQ159" s="317">
        <f t="shared" si="331"/>
        <v>0</v>
      </c>
      <c r="BR159" s="317">
        <f t="shared" si="332"/>
        <v>86.60901999999987</v>
      </c>
      <c r="BS159" s="317">
        <f t="shared" si="333"/>
        <v>0</v>
      </c>
      <c r="BT159" s="317">
        <f t="shared" si="334"/>
        <v>0</v>
      </c>
      <c r="BU159" s="229">
        <v>1</v>
      </c>
      <c r="BV159" s="305"/>
      <c r="BW159" s="331" t="s">
        <v>238</v>
      </c>
      <c r="BY159" s="232">
        <v>86.6</v>
      </c>
      <c r="BZ159" s="232">
        <v>1</v>
      </c>
      <c r="CA159" s="317"/>
      <c r="CB159" s="232"/>
      <c r="CC159" s="232"/>
    </row>
    <row r="160" spans="1:81" s="229" customFormat="1" ht="14.25" customHeight="1">
      <c r="A160" s="230">
        <v>127</v>
      </c>
      <c r="B160" s="239" t="s">
        <v>178</v>
      </c>
      <c r="C160" s="232">
        <f t="shared" si="307"/>
        <v>503.831</v>
      </c>
      <c r="D160" s="233"/>
      <c r="E160" s="232">
        <f t="shared" si="308"/>
        <v>503.831</v>
      </c>
      <c r="F160" s="233"/>
      <c r="G160" s="232"/>
      <c r="H160" s="232">
        <f t="shared" si="309"/>
        <v>620.2021500000001</v>
      </c>
      <c r="I160" s="233"/>
      <c r="J160" s="232">
        <f t="shared" si="310"/>
        <v>503.831</v>
      </c>
      <c r="K160" s="232">
        <f t="shared" si="311"/>
        <v>116.37115</v>
      </c>
      <c r="L160" s="240"/>
      <c r="M160" s="232">
        <f t="shared" si="300"/>
        <v>503.831</v>
      </c>
      <c r="N160" s="232"/>
      <c r="O160" s="232">
        <v>310.318</v>
      </c>
      <c r="P160" s="232"/>
      <c r="Q160" s="232">
        <v>193.513</v>
      </c>
      <c r="R160" s="234">
        <f t="shared" si="312"/>
        <v>503.831</v>
      </c>
      <c r="S160" s="232"/>
      <c r="T160" s="232">
        <v>310.318</v>
      </c>
      <c r="U160" s="232"/>
      <c r="V160" s="235">
        <v>193.513</v>
      </c>
      <c r="W160" s="232">
        <f t="shared" si="313"/>
        <v>0</v>
      </c>
      <c r="X160" s="232">
        <f t="shared" si="314"/>
        <v>0</v>
      </c>
      <c r="Y160" s="232">
        <f t="shared" si="314"/>
        <v>0</v>
      </c>
      <c r="Z160" s="232">
        <f t="shared" si="314"/>
        <v>0</v>
      </c>
      <c r="AA160" s="232">
        <f t="shared" si="314"/>
        <v>0</v>
      </c>
      <c r="AB160" s="232">
        <f t="shared" si="315"/>
        <v>503.831</v>
      </c>
      <c r="AC160" s="232"/>
      <c r="AD160" s="232">
        <f t="shared" si="316"/>
        <v>310.318</v>
      </c>
      <c r="AE160" s="232">
        <f t="shared" si="316"/>
        <v>0</v>
      </c>
      <c r="AF160" s="232">
        <f t="shared" si="316"/>
        <v>193.513</v>
      </c>
      <c r="AG160" s="232">
        <f t="shared" si="317"/>
        <v>0</v>
      </c>
      <c r="AH160" s="232"/>
      <c r="AI160" s="232"/>
      <c r="AJ160" s="232"/>
      <c r="AK160" s="236"/>
      <c r="AL160" s="234">
        <f t="shared" si="318"/>
        <v>503.831</v>
      </c>
      <c r="AM160" s="232"/>
      <c r="AN160" s="232">
        <f t="shared" si="319"/>
        <v>310.318</v>
      </c>
      <c r="AO160" s="232"/>
      <c r="AP160" s="235">
        <f t="shared" si="320"/>
        <v>193.513</v>
      </c>
      <c r="AQ160" s="232">
        <f t="shared" si="321"/>
        <v>495.93791</v>
      </c>
      <c r="AR160" s="232"/>
      <c r="AS160" s="232">
        <f>305.32891</f>
        <v>305.32891</v>
      </c>
      <c r="AT160" s="232"/>
      <c r="AU160" s="232">
        <v>190.609</v>
      </c>
      <c r="AV160" s="232">
        <f t="shared" si="322"/>
        <v>495.93791</v>
      </c>
      <c r="AW160" s="232"/>
      <c r="AX160" s="232">
        <f>305.32891</f>
        <v>305.32891</v>
      </c>
      <c r="AY160" s="232"/>
      <c r="AZ160" s="232">
        <v>190.609</v>
      </c>
      <c r="BA160" s="232">
        <f t="shared" si="323"/>
        <v>116.37115</v>
      </c>
      <c r="BB160" s="232"/>
      <c r="BC160" s="232">
        <v>106.33807</v>
      </c>
      <c r="BD160" s="232"/>
      <c r="BE160" s="232">
        <v>10.03308</v>
      </c>
      <c r="BF160" s="232">
        <f t="shared" si="324"/>
        <v>116.37115</v>
      </c>
      <c r="BG160" s="232"/>
      <c r="BH160" s="232">
        <v>106.33807</v>
      </c>
      <c r="BI160" s="232"/>
      <c r="BJ160" s="232">
        <v>10.03308</v>
      </c>
      <c r="BK160" s="232">
        <f t="shared" si="325"/>
        <v>612.30906</v>
      </c>
      <c r="BL160" s="232">
        <f t="shared" si="326"/>
        <v>0</v>
      </c>
      <c r="BM160" s="232">
        <f t="shared" si="327"/>
        <v>411.66698</v>
      </c>
      <c r="BN160" s="232">
        <f t="shared" si="328"/>
        <v>0</v>
      </c>
      <c r="BO160" s="232">
        <f t="shared" si="329"/>
        <v>200.64208000000002</v>
      </c>
      <c r="BP160" s="316">
        <f t="shared" si="330"/>
        <v>7.893089999999972</v>
      </c>
      <c r="BQ160" s="317">
        <f t="shared" si="331"/>
        <v>0</v>
      </c>
      <c r="BR160" s="317">
        <f t="shared" si="332"/>
        <v>4.989089999999976</v>
      </c>
      <c r="BS160" s="317">
        <f t="shared" si="333"/>
        <v>0</v>
      </c>
      <c r="BT160" s="317">
        <f t="shared" si="334"/>
        <v>2.9039999999999964</v>
      </c>
      <c r="BU160" s="229">
        <v>1</v>
      </c>
      <c r="BV160" s="305"/>
      <c r="BW160" s="331" t="s">
        <v>237</v>
      </c>
      <c r="BY160" s="232">
        <v>7.9</v>
      </c>
      <c r="BZ160" s="232">
        <v>1</v>
      </c>
      <c r="CA160" s="317"/>
      <c r="CB160" s="232"/>
      <c r="CC160" s="232"/>
    </row>
    <row r="161" spans="1:81" s="229" customFormat="1" ht="15" customHeight="1">
      <c r="A161" s="230">
        <v>128</v>
      </c>
      <c r="B161" s="239" t="s">
        <v>179</v>
      </c>
      <c r="C161" s="232">
        <f t="shared" si="307"/>
        <v>1104.712</v>
      </c>
      <c r="D161" s="233"/>
      <c r="E161" s="232">
        <f t="shared" si="308"/>
        <v>1104.712</v>
      </c>
      <c r="F161" s="233"/>
      <c r="G161" s="232"/>
      <c r="H161" s="232">
        <f t="shared" si="309"/>
        <v>2348.57878</v>
      </c>
      <c r="I161" s="233"/>
      <c r="J161" s="232">
        <f t="shared" si="310"/>
        <v>1104.712</v>
      </c>
      <c r="K161" s="232">
        <f t="shared" si="311"/>
        <v>1243.86678</v>
      </c>
      <c r="L161" s="240"/>
      <c r="M161" s="232">
        <f t="shared" si="300"/>
        <v>1104.712</v>
      </c>
      <c r="N161" s="232"/>
      <c r="O161" s="232">
        <v>591.513</v>
      </c>
      <c r="P161" s="232"/>
      <c r="Q161" s="232">
        <v>513.199</v>
      </c>
      <c r="R161" s="234">
        <f t="shared" si="312"/>
        <v>1104.712</v>
      </c>
      <c r="S161" s="232"/>
      <c r="T161" s="232">
        <v>591.513</v>
      </c>
      <c r="U161" s="232"/>
      <c r="V161" s="235">
        <v>513.199</v>
      </c>
      <c r="W161" s="232">
        <f t="shared" si="313"/>
        <v>0</v>
      </c>
      <c r="X161" s="232">
        <f t="shared" si="314"/>
        <v>0</v>
      </c>
      <c r="Y161" s="232">
        <f t="shared" si="314"/>
        <v>0</v>
      </c>
      <c r="Z161" s="232">
        <f t="shared" si="314"/>
        <v>0</v>
      </c>
      <c r="AA161" s="232">
        <f t="shared" si="314"/>
        <v>0</v>
      </c>
      <c r="AB161" s="232">
        <f t="shared" si="315"/>
        <v>1104.712</v>
      </c>
      <c r="AC161" s="232"/>
      <c r="AD161" s="232">
        <f t="shared" si="316"/>
        <v>591.513</v>
      </c>
      <c r="AE161" s="232">
        <f t="shared" si="316"/>
        <v>0</v>
      </c>
      <c r="AF161" s="232">
        <f t="shared" si="316"/>
        <v>513.199</v>
      </c>
      <c r="AG161" s="232">
        <f t="shared" si="317"/>
        <v>0</v>
      </c>
      <c r="AH161" s="232"/>
      <c r="AI161" s="232"/>
      <c r="AJ161" s="232"/>
      <c r="AK161" s="236"/>
      <c r="AL161" s="234">
        <f t="shared" si="318"/>
        <v>1104.712</v>
      </c>
      <c r="AM161" s="232"/>
      <c r="AN161" s="232">
        <f t="shared" si="319"/>
        <v>591.513</v>
      </c>
      <c r="AO161" s="232"/>
      <c r="AP161" s="235">
        <f t="shared" si="320"/>
        <v>513.199</v>
      </c>
      <c r="AQ161" s="232">
        <f t="shared" si="321"/>
        <v>1104.712</v>
      </c>
      <c r="AR161" s="232"/>
      <c r="AS161" s="232">
        <v>591.513</v>
      </c>
      <c r="AT161" s="232"/>
      <c r="AU161" s="232">
        <v>513.199</v>
      </c>
      <c r="AV161" s="232">
        <f t="shared" si="322"/>
        <v>1104.712</v>
      </c>
      <c r="AW161" s="232"/>
      <c r="AX161" s="232">
        <v>591.513</v>
      </c>
      <c r="AY161" s="232"/>
      <c r="AZ161" s="232">
        <v>513.199</v>
      </c>
      <c r="BA161" s="232">
        <f t="shared" si="323"/>
        <v>1243.86678</v>
      </c>
      <c r="BB161" s="232"/>
      <c r="BC161" s="232">
        <v>636.0528</v>
      </c>
      <c r="BD161" s="232"/>
      <c r="BE161" s="232">
        <v>607.81398</v>
      </c>
      <c r="BF161" s="232">
        <f t="shared" si="324"/>
        <v>1243.86678</v>
      </c>
      <c r="BG161" s="232"/>
      <c r="BH161" s="232">
        <v>636.0528</v>
      </c>
      <c r="BI161" s="232"/>
      <c r="BJ161" s="232">
        <v>607.81398</v>
      </c>
      <c r="BK161" s="232">
        <f t="shared" si="325"/>
        <v>2348.57878</v>
      </c>
      <c r="BL161" s="232">
        <f t="shared" si="326"/>
        <v>0</v>
      </c>
      <c r="BM161" s="232">
        <f t="shared" si="327"/>
        <v>1227.5658</v>
      </c>
      <c r="BN161" s="232">
        <f t="shared" si="328"/>
        <v>0</v>
      </c>
      <c r="BO161" s="232">
        <f t="shared" si="329"/>
        <v>1121.01298</v>
      </c>
      <c r="BP161" s="316">
        <f t="shared" si="330"/>
        <v>0</v>
      </c>
      <c r="BQ161" s="317">
        <f t="shared" si="331"/>
        <v>0</v>
      </c>
      <c r="BR161" s="317">
        <f t="shared" si="332"/>
        <v>0</v>
      </c>
      <c r="BS161" s="317">
        <f t="shared" si="333"/>
        <v>0</v>
      </c>
      <c r="BT161" s="317">
        <f t="shared" si="334"/>
        <v>0</v>
      </c>
      <c r="BU161" s="229">
        <v>1</v>
      </c>
      <c r="BV161" s="305"/>
      <c r="BW161" s="331" t="s">
        <v>228</v>
      </c>
      <c r="BY161" s="232"/>
      <c r="BZ161" s="232">
        <v>1</v>
      </c>
      <c r="CA161" s="317"/>
      <c r="CB161" s="232"/>
      <c r="CC161" s="232"/>
    </row>
    <row r="162" spans="1:81" s="229" customFormat="1" ht="15" customHeight="1">
      <c r="A162" s="230">
        <v>129</v>
      </c>
      <c r="B162" s="239" t="s">
        <v>180</v>
      </c>
      <c r="C162" s="232">
        <f t="shared" si="307"/>
        <v>1648.867</v>
      </c>
      <c r="D162" s="233"/>
      <c r="E162" s="232">
        <f t="shared" si="308"/>
        <v>1648.867</v>
      </c>
      <c r="F162" s="233"/>
      <c r="G162" s="232"/>
      <c r="H162" s="232">
        <f t="shared" si="309"/>
        <v>1735.6499999999999</v>
      </c>
      <c r="I162" s="233"/>
      <c r="J162" s="232">
        <f t="shared" si="310"/>
        <v>1648.867</v>
      </c>
      <c r="K162" s="232">
        <f t="shared" si="311"/>
        <v>86.783</v>
      </c>
      <c r="L162" s="240"/>
      <c r="M162" s="232">
        <f t="shared" si="300"/>
        <v>1648.867</v>
      </c>
      <c r="N162" s="232"/>
      <c r="O162" s="232">
        <f>1648.963-0.096</f>
        <v>1648.867</v>
      </c>
      <c r="P162" s="232"/>
      <c r="Q162" s="232"/>
      <c r="R162" s="234">
        <f t="shared" si="312"/>
        <v>1648.867</v>
      </c>
      <c r="S162" s="232"/>
      <c r="T162" s="232">
        <v>1648.867</v>
      </c>
      <c r="U162" s="232"/>
      <c r="V162" s="235"/>
      <c r="W162" s="232">
        <f t="shared" si="313"/>
        <v>0</v>
      </c>
      <c r="X162" s="232">
        <f t="shared" si="314"/>
        <v>0</v>
      </c>
      <c r="Y162" s="232">
        <f t="shared" si="314"/>
        <v>0</v>
      </c>
      <c r="Z162" s="232">
        <f t="shared" si="314"/>
        <v>0</v>
      </c>
      <c r="AA162" s="232">
        <f t="shared" si="314"/>
        <v>0</v>
      </c>
      <c r="AB162" s="232">
        <f t="shared" si="315"/>
        <v>1648.867</v>
      </c>
      <c r="AC162" s="232"/>
      <c r="AD162" s="232">
        <f t="shared" si="316"/>
        <v>1648.867</v>
      </c>
      <c r="AE162" s="232">
        <f t="shared" si="316"/>
        <v>0</v>
      </c>
      <c r="AF162" s="232">
        <f t="shared" si="316"/>
        <v>0</v>
      </c>
      <c r="AG162" s="232">
        <f t="shared" si="317"/>
        <v>0</v>
      </c>
      <c r="AH162" s="232"/>
      <c r="AI162" s="232"/>
      <c r="AJ162" s="232"/>
      <c r="AK162" s="236"/>
      <c r="AL162" s="234">
        <f t="shared" si="318"/>
        <v>1648.867</v>
      </c>
      <c r="AM162" s="232"/>
      <c r="AN162" s="232">
        <f t="shared" si="319"/>
        <v>1648.867</v>
      </c>
      <c r="AO162" s="232"/>
      <c r="AP162" s="235"/>
      <c r="AQ162" s="232">
        <f t="shared" si="321"/>
        <v>1648.867</v>
      </c>
      <c r="AR162" s="232"/>
      <c r="AS162" s="232">
        <v>1648.867</v>
      </c>
      <c r="AT162" s="232"/>
      <c r="AU162" s="232"/>
      <c r="AV162" s="232">
        <f t="shared" si="322"/>
        <v>1648.867</v>
      </c>
      <c r="AW162" s="232"/>
      <c r="AX162" s="232">
        <v>1648.867</v>
      </c>
      <c r="AY162" s="232"/>
      <c r="AZ162" s="232"/>
      <c r="BA162" s="232">
        <f t="shared" si="323"/>
        <v>86.783</v>
      </c>
      <c r="BB162" s="232"/>
      <c r="BC162" s="232">
        <v>86.783</v>
      </c>
      <c r="BD162" s="232"/>
      <c r="BE162" s="232"/>
      <c r="BF162" s="232">
        <f t="shared" si="324"/>
        <v>86.783</v>
      </c>
      <c r="BG162" s="232"/>
      <c r="BH162" s="232">
        <v>86.783</v>
      </c>
      <c r="BI162" s="232"/>
      <c r="BJ162" s="232"/>
      <c r="BK162" s="232">
        <f t="shared" si="325"/>
        <v>1735.6499999999999</v>
      </c>
      <c r="BL162" s="232">
        <f t="shared" si="326"/>
        <v>0</v>
      </c>
      <c r="BM162" s="232">
        <f t="shared" si="327"/>
        <v>1735.6499999999999</v>
      </c>
      <c r="BN162" s="232">
        <f t="shared" si="328"/>
        <v>0</v>
      </c>
      <c r="BO162" s="232">
        <f t="shared" si="329"/>
        <v>0</v>
      </c>
      <c r="BP162" s="316">
        <f t="shared" si="330"/>
        <v>0</v>
      </c>
      <c r="BQ162" s="317">
        <f t="shared" si="331"/>
        <v>0</v>
      </c>
      <c r="BR162" s="317">
        <f t="shared" si="332"/>
        <v>0</v>
      </c>
      <c r="BS162" s="317">
        <f t="shared" si="333"/>
        <v>0</v>
      </c>
      <c r="BT162" s="317">
        <f t="shared" si="334"/>
        <v>0</v>
      </c>
      <c r="BU162" s="229">
        <v>1</v>
      </c>
      <c r="BV162" s="305"/>
      <c r="BW162" s="331" t="s">
        <v>228</v>
      </c>
      <c r="BY162" s="232"/>
      <c r="BZ162" s="232">
        <v>1</v>
      </c>
      <c r="CA162" s="317"/>
      <c r="CB162" s="232"/>
      <c r="CC162" s="232"/>
    </row>
    <row r="163" spans="1:81" s="229" customFormat="1" ht="15" customHeight="1" hidden="1">
      <c r="A163" s="230"/>
      <c r="B163" s="239" t="s">
        <v>181</v>
      </c>
      <c r="C163" s="232">
        <f t="shared" si="307"/>
        <v>0</v>
      </c>
      <c r="D163" s="233"/>
      <c r="E163" s="232">
        <f t="shared" si="308"/>
        <v>0</v>
      </c>
      <c r="F163" s="233"/>
      <c r="G163" s="232"/>
      <c r="H163" s="232">
        <f t="shared" si="309"/>
        <v>0</v>
      </c>
      <c r="I163" s="233"/>
      <c r="J163" s="232">
        <f t="shared" si="310"/>
        <v>0</v>
      </c>
      <c r="K163" s="232">
        <f t="shared" si="311"/>
        <v>0</v>
      </c>
      <c r="L163" s="240"/>
      <c r="M163" s="232"/>
      <c r="N163" s="232"/>
      <c r="O163" s="232"/>
      <c r="P163" s="232"/>
      <c r="Q163" s="232"/>
      <c r="R163" s="234"/>
      <c r="S163" s="232"/>
      <c r="T163" s="232"/>
      <c r="U163" s="232"/>
      <c r="V163" s="235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6"/>
      <c r="AL163" s="234"/>
      <c r="AM163" s="232"/>
      <c r="AN163" s="232"/>
      <c r="AO163" s="232"/>
      <c r="AP163" s="235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2"/>
      <c r="BF163" s="232"/>
      <c r="BG163" s="232"/>
      <c r="BH163" s="232"/>
      <c r="BI163" s="232"/>
      <c r="BJ163" s="232"/>
      <c r="BK163" s="232"/>
      <c r="BL163" s="232"/>
      <c r="BM163" s="232"/>
      <c r="BN163" s="232"/>
      <c r="BO163" s="232"/>
      <c r="BP163" s="316"/>
      <c r="BQ163" s="317"/>
      <c r="BR163" s="317"/>
      <c r="BS163" s="317"/>
      <c r="BT163" s="317"/>
      <c r="BV163" s="305"/>
      <c r="BW163" s="332"/>
      <c r="BY163" s="232"/>
      <c r="BZ163" s="232"/>
      <c r="CA163" s="317"/>
      <c r="CB163" s="232"/>
      <c r="CC163" s="232"/>
    </row>
    <row r="164" spans="1:81" s="229" customFormat="1" ht="15" customHeight="1">
      <c r="A164" s="230">
        <v>130</v>
      </c>
      <c r="B164" s="239" t="s">
        <v>182</v>
      </c>
      <c r="C164" s="232">
        <f t="shared" si="307"/>
        <v>4476.662</v>
      </c>
      <c r="D164" s="233"/>
      <c r="E164" s="232">
        <f t="shared" si="308"/>
        <v>4476.662</v>
      </c>
      <c r="F164" s="233"/>
      <c r="G164" s="232"/>
      <c r="H164" s="232">
        <f t="shared" si="309"/>
        <v>5780.7206400000005</v>
      </c>
      <c r="I164" s="233"/>
      <c r="J164" s="232">
        <f t="shared" si="310"/>
        <v>4476.662</v>
      </c>
      <c r="K164" s="232">
        <f t="shared" si="311"/>
        <v>1304.05864</v>
      </c>
      <c r="L164" s="240"/>
      <c r="M164" s="232">
        <f t="shared" si="300"/>
        <v>4476.662</v>
      </c>
      <c r="N164" s="232"/>
      <c r="O164" s="232">
        <v>4476.662</v>
      </c>
      <c r="P164" s="232"/>
      <c r="Q164" s="232"/>
      <c r="R164" s="234">
        <f t="shared" si="312"/>
        <v>4476.662</v>
      </c>
      <c r="S164" s="232"/>
      <c r="T164" s="232">
        <f>2397.009+2079.653</f>
        <v>4476.662</v>
      </c>
      <c r="U164" s="232"/>
      <c r="V164" s="235"/>
      <c r="W164" s="232">
        <f t="shared" si="313"/>
        <v>0</v>
      </c>
      <c r="X164" s="232">
        <f>N164-S164</f>
        <v>0</v>
      </c>
      <c r="Y164" s="232">
        <f>O164-T164</f>
        <v>0</v>
      </c>
      <c r="Z164" s="232">
        <f>P164-U164</f>
        <v>0</v>
      </c>
      <c r="AA164" s="232">
        <f>Q164-V164</f>
        <v>0</v>
      </c>
      <c r="AB164" s="232">
        <f t="shared" si="315"/>
        <v>4476.662</v>
      </c>
      <c r="AC164" s="232"/>
      <c r="AD164" s="232">
        <f t="shared" si="316"/>
        <v>4476.662</v>
      </c>
      <c r="AE164" s="232">
        <f t="shared" si="316"/>
        <v>0</v>
      </c>
      <c r="AF164" s="232">
        <f t="shared" si="316"/>
        <v>0</v>
      </c>
      <c r="AG164" s="232">
        <f t="shared" si="317"/>
        <v>0</v>
      </c>
      <c r="AH164" s="232"/>
      <c r="AI164" s="232"/>
      <c r="AJ164" s="232"/>
      <c r="AK164" s="236"/>
      <c r="AL164" s="234">
        <f t="shared" si="318"/>
        <v>4476.662</v>
      </c>
      <c r="AM164" s="232"/>
      <c r="AN164" s="232">
        <f t="shared" si="319"/>
        <v>4476.662</v>
      </c>
      <c r="AO164" s="232"/>
      <c r="AP164" s="235"/>
      <c r="AQ164" s="232">
        <f>AR164+AS164+AT164+AU164</f>
        <v>4476.662</v>
      </c>
      <c r="AR164" s="232"/>
      <c r="AS164" s="232">
        <f>2397.009+2079.653</f>
        <v>4476.662</v>
      </c>
      <c r="AT164" s="232"/>
      <c r="AU164" s="232"/>
      <c r="AV164" s="232">
        <f t="shared" si="322"/>
        <v>4476.662</v>
      </c>
      <c r="AW164" s="232"/>
      <c r="AX164" s="232">
        <f>2397.009+2079.653</f>
        <v>4476.662</v>
      </c>
      <c r="AY164" s="232"/>
      <c r="AZ164" s="232"/>
      <c r="BA164" s="232">
        <f>BB164+BC164+BD164+BE164</f>
        <v>1304.05864</v>
      </c>
      <c r="BB164" s="232"/>
      <c r="BC164" s="232">
        <v>1304.05864</v>
      </c>
      <c r="BD164" s="232"/>
      <c r="BE164" s="232"/>
      <c r="BF164" s="232">
        <f t="shared" si="324"/>
        <v>1304.05864</v>
      </c>
      <c r="BG164" s="232"/>
      <c r="BH164" s="232">
        <v>1304.05864</v>
      </c>
      <c r="BI164" s="232"/>
      <c r="BJ164" s="232"/>
      <c r="BK164" s="232">
        <f t="shared" si="325"/>
        <v>5780.7206400000005</v>
      </c>
      <c r="BL164" s="232">
        <f>AW164+BG164</f>
        <v>0</v>
      </c>
      <c r="BM164" s="232">
        <f>AX164+BH164</f>
        <v>5780.7206400000005</v>
      </c>
      <c r="BN164" s="232">
        <f>AY164+BI164</f>
        <v>0</v>
      </c>
      <c r="BO164" s="232">
        <f>AZ164+BJ164</f>
        <v>0</v>
      </c>
      <c r="BP164" s="316">
        <f t="shared" si="330"/>
        <v>0</v>
      </c>
      <c r="BQ164" s="317">
        <f>AM164-AW164</f>
        <v>0</v>
      </c>
      <c r="BR164" s="317">
        <f>AN164-AX164</f>
        <v>0</v>
      </c>
      <c r="BS164" s="317">
        <f>AO164-AY164</f>
        <v>0</v>
      </c>
      <c r="BT164" s="317">
        <f>AP164-AZ164</f>
        <v>0</v>
      </c>
      <c r="BU164" s="229">
        <v>1</v>
      </c>
      <c r="BV164" s="305"/>
      <c r="BW164" s="331" t="s">
        <v>228</v>
      </c>
      <c r="BY164" s="232"/>
      <c r="BZ164" s="232">
        <v>1</v>
      </c>
      <c r="CA164" s="317"/>
      <c r="CB164" s="232"/>
      <c r="CC164" s="232"/>
    </row>
    <row r="165" spans="1:81" s="229" customFormat="1" ht="15" customHeight="1">
      <c r="A165" s="238"/>
      <c r="B165" s="301" t="s">
        <v>15</v>
      </c>
      <c r="C165" s="228">
        <f aca="true" t="shared" si="335" ref="C165:L165">SUM(C166:C172)</f>
        <v>22428.34</v>
      </c>
      <c r="D165" s="228">
        <f t="shared" si="335"/>
        <v>0</v>
      </c>
      <c r="E165" s="228">
        <f t="shared" si="335"/>
        <v>22428.34</v>
      </c>
      <c r="F165" s="228">
        <f t="shared" si="335"/>
        <v>0</v>
      </c>
      <c r="G165" s="228">
        <f t="shared" si="335"/>
        <v>0</v>
      </c>
      <c r="H165" s="228">
        <f t="shared" si="335"/>
        <v>25884.55342</v>
      </c>
      <c r="I165" s="228">
        <f t="shared" si="335"/>
        <v>0</v>
      </c>
      <c r="J165" s="228">
        <f t="shared" si="335"/>
        <v>22428.34</v>
      </c>
      <c r="K165" s="228">
        <f t="shared" si="335"/>
        <v>3456.21342</v>
      </c>
      <c r="L165" s="228">
        <f t="shared" si="335"/>
        <v>0</v>
      </c>
      <c r="M165" s="223">
        <f t="shared" si="300"/>
        <v>22428.340000000004</v>
      </c>
      <c r="N165" s="223">
        <f>SUM(N166:N171)</f>
        <v>0</v>
      </c>
      <c r="O165" s="223">
        <f>SUM(O166:O172)</f>
        <v>8448.495</v>
      </c>
      <c r="P165" s="223">
        <f>SUM(P166:P171)</f>
        <v>12500</v>
      </c>
      <c r="Q165" s="223">
        <f>SUM(Q166:Q171)</f>
        <v>1479.845</v>
      </c>
      <c r="R165" s="225">
        <f aca="true" t="shared" si="336" ref="R165:AB165">SUM(R166:R172)</f>
        <v>22428.34</v>
      </c>
      <c r="S165" s="223">
        <f t="shared" si="336"/>
        <v>0</v>
      </c>
      <c r="T165" s="223">
        <f t="shared" si="336"/>
        <v>8448.495</v>
      </c>
      <c r="U165" s="223">
        <f t="shared" si="336"/>
        <v>12500</v>
      </c>
      <c r="V165" s="226">
        <f t="shared" si="336"/>
        <v>1479.8449999999998</v>
      </c>
      <c r="W165" s="223">
        <f t="shared" si="336"/>
        <v>0</v>
      </c>
      <c r="X165" s="223">
        <f t="shared" si="336"/>
        <v>0</v>
      </c>
      <c r="Y165" s="223">
        <f t="shared" si="336"/>
        <v>0</v>
      </c>
      <c r="Z165" s="223">
        <f t="shared" si="336"/>
        <v>0</v>
      </c>
      <c r="AA165" s="223">
        <f t="shared" si="336"/>
        <v>0</v>
      </c>
      <c r="AB165" s="223">
        <f t="shared" si="336"/>
        <v>22428.34</v>
      </c>
      <c r="AC165" s="223">
        <f>SUM(AC166:AC171)</f>
        <v>0</v>
      </c>
      <c r="AD165" s="223">
        <f>SUM(AD166:AD172)</f>
        <v>8448.495</v>
      </c>
      <c r="AE165" s="223">
        <f>SUM(AE166:AE172)</f>
        <v>12500</v>
      </c>
      <c r="AF165" s="223">
        <f>SUM(AF166:AF171)</f>
        <v>1479.8449999999998</v>
      </c>
      <c r="AG165" s="223">
        <f>SUM(AG166:AG172)</f>
        <v>0</v>
      </c>
      <c r="AH165" s="223">
        <f>SUM(AH166:AH171)</f>
        <v>0</v>
      </c>
      <c r="AI165" s="223">
        <f>SUM(AI166:AI172)</f>
        <v>0</v>
      </c>
      <c r="AJ165" s="223">
        <f>SUM(AJ166:AJ172)</f>
        <v>0</v>
      </c>
      <c r="AK165" s="227">
        <f>SUM(AK166:AK171)</f>
        <v>0</v>
      </c>
      <c r="AL165" s="225">
        <f>SUM(AL166:AL172)</f>
        <v>22428.34</v>
      </c>
      <c r="AM165" s="223">
        <f>SUM(AM166:AM171)</f>
        <v>0</v>
      </c>
      <c r="AN165" s="223">
        <f>SUM(AN166:AN172)</f>
        <v>8448.495</v>
      </c>
      <c r="AO165" s="223">
        <f>SUM(AO166:AO172)</f>
        <v>12500</v>
      </c>
      <c r="AP165" s="226">
        <f>SUM(AP166:AP171)</f>
        <v>1479.8449999999998</v>
      </c>
      <c r="AQ165" s="223">
        <f>SUM(AQ166:AQ172)</f>
        <v>22326.75306</v>
      </c>
      <c r="AR165" s="223">
        <f>SUM(AR166:AR171)</f>
        <v>0</v>
      </c>
      <c r="AS165" s="223">
        <f>SUM(AS166:AS172)</f>
        <v>8346.90606</v>
      </c>
      <c r="AT165" s="223">
        <f>SUM(AT166:AT172)</f>
        <v>12500</v>
      </c>
      <c r="AU165" s="223">
        <f>SUM(AU166:AU171)</f>
        <v>1479.847</v>
      </c>
      <c r="AV165" s="223">
        <f>SUM(AV166:AV172)</f>
        <v>22326.75106</v>
      </c>
      <c r="AW165" s="223">
        <f>SUM(AW166:AW171)</f>
        <v>0</v>
      </c>
      <c r="AX165" s="223">
        <f>SUM(AX166:AX172)</f>
        <v>8346.90606</v>
      </c>
      <c r="AY165" s="223">
        <f>SUM(AY166:AY172)</f>
        <v>12500</v>
      </c>
      <c r="AZ165" s="223">
        <f>SUM(AZ166:AZ171)</f>
        <v>1479.8449999999998</v>
      </c>
      <c r="BA165" s="223">
        <f>SUM(BA166:BA172)</f>
        <v>3456.21342</v>
      </c>
      <c r="BB165" s="223">
        <f>SUM(BB166:BB171)</f>
        <v>0</v>
      </c>
      <c r="BC165" s="223">
        <f>SUM(BC166:BC172)</f>
        <v>2669.8343800000002</v>
      </c>
      <c r="BD165" s="223">
        <f>SUM(BD166:BD172)</f>
        <v>668.897</v>
      </c>
      <c r="BE165" s="223">
        <f>SUM(BE166:BE171)</f>
        <v>117.48204</v>
      </c>
      <c r="BF165" s="223">
        <f>SUM(BF166:BF172)</f>
        <v>3456.21342</v>
      </c>
      <c r="BG165" s="223">
        <f>SUM(BG166:BG171)</f>
        <v>0</v>
      </c>
      <c r="BH165" s="223">
        <f>SUM(BH166:BH172)</f>
        <v>2669.8343800000002</v>
      </c>
      <c r="BI165" s="223">
        <f>SUM(BI166:BI172)</f>
        <v>668.897</v>
      </c>
      <c r="BJ165" s="223">
        <f>SUM(BJ166:BJ171)</f>
        <v>117.48204</v>
      </c>
      <c r="BK165" s="223">
        <f>SUM(BK166:BK172)</f>
        <v>25782.96448</v>
      </c>
      <c r="BL165" s="223">
        <f>SUM(BL166:BL171)</f>
        <v>0</v>
      </c>
      <c r="BM165" s="223">
        <f>SUM(BM166:BM172)</f>
        <v>11016.74044</v>
      </c>
      <c r="BN165" s="223">
        <f>SUM(BN166:BN172)</f>
        <v>13168.897</v>
      </c>
      <c r="BO165" s="223">
        <f>SUM(BO166:BO171)</f>
        <v>1597.32704</v>
      </c>
      <c r="BP165" s="314">
        <f>SUM(BP166:BP172)</f>
        <v>101.58893999999998</v>
      </c>
      <c r="BQ165" s="315">
        <f>SUM(BQ166:BQ171)</f>
        <v>0</v>
      </c>
      <c r="BR165" s="315">
        <f>SUM(BR166:BR172)</f>
        <v>101.58893999999998</v>
      </c>
      <c r="BS165" s="315">
        <f>SUM(BS166:BS172)</f>
        <v>0</v>
      </c>
      <c r="BT165" s="315">
        <f>SUM(BT166:BT171)</f>
        <v>0</v>
      </c>
      <c r="BV165" s="305"/>
      <c r="BW165" s="349" t="s">
        <v>292</v>
      </c>
      <c r="BY165" s="223">
        <f>SUM(BY166:BY171)</f>
        <v>101.6</v>
      </c>
      <c r="BZ165" s="223">
        <f>SUM(BZ166:BZ172)</f>
        <v>6</v>
      </c>
      <c r="CA165" s="315">
        <f>SUM(CA166:CA171)</f>
        <v>0</v>
      </c>
      <c r="CB165" s="223">
        <f>SUM(CB166:CB171)</f>
        <v>0</v>
      </c>
      <c r="CC165" s="223">
        <f>SUM(CC166:CC171)</f>
        <v>0</v>
      </c>
    </row>
    <row r="166" spans="1:81" s="229" customFormat="1" ht="21.75" customHeight="1">
      <c r="A166" s="230">
        <v>131</v>
      </c>
      <c r="B166" s="239" t="s">
        <v>183</v>
      </c>
      <c r="C166" s="232">
        <f aca="true" t="shared" si="337" ref="C166:C172">E166+D166+F166</f>
        <v>1125.18</v>
      </c>
      <c r="D166" s="233"/>
      <c r="E166" s="232">
        <f aca="true" t="shared" si="338" ref="E166:E172">M166</f>
        <v>1125.18</v>
      </c>
      <c r="F166" s="233"/>
      <c r="G166" s="232"/>
      <c r="H166" s="232">
        <f aca="true" t="shared" si="339" ref="H166:H172">I166+J166+K166</f>
        <v>1179.0568199999998</v>
      </c>
      <c r="I166" s="233"/>
      <c r="J166" s="232">
        <f aca="true" t="shared" si="340" ref="J166:J172">AL166</f>
        <v>1125.1799999999998</v>
      </c>
      <c r="K166" s="232">
        <f aca="true" t="shared" si="341" ref="K166:K172">BF166</f>
        <v>53.876819999999995</v>
      </c>
      <c r="L166" s="240"/>
      <c r="M166" s="232">
        <f t="shared" si="300"/>
        <v>1125.18</v>
      </c>
      <c r="N166" s="232"/>
      <c r="O166" s="232">
        <f>608.117-10.535</f>
        <v>597.582</v>
      </c>
      <c r="P166" s="232"/>
      <c r="Q166" s="232">
        <f>527.604-0.006</f>
        <v>527.5980000000001</v>
      </c>
      <c r="R166" s="234">
        <f aca="true" t="shared" si="342" ref="R166:R172">S166+T166+U166+V166</f>
        <v>1125.1799999999998</v>
      </c>
      <c r="S166" s="232"/>
      <c r="T166" s="232">
        <v>597.582</v>
      </c>
      <c r="U166" s="232"/>
      <c r="V166" s="235">
        <v>527.598</v>
      </c>
      <c r="W166" s="232">
        <f aca="true" t="shared" si="343" ref="W166:W172">X166+Y166+Z166+AA166</f>
        <v>0</v>
      </c>
      <c r="X166" s="232">
        <f aca="true" t="shared" si="344" ref="X166:AA172">N166-S166</f>
        <v>0</v>
      </c>
      <c r="Y166" s="232">
        <f t="shared" si="344"/>
        <v>0</v>
      </c>
      <c r="Z166" s="232">
        <f t="shared" si="344"/>
        <v>0</v>
      </c>
      <c r="AA166" s="232">
        <f t="shared" si="344"/>
        <v>0</v>
      </c>
      <c r="AB166" s="232">
        <f aca="true" t="shared" si="345" ref="AB166:AB172">AC166+AD166+AE166+AF166</f>
        <v>1125.1799999999998</v>
      </c>
      <c r="AC166" s="232"/>
      <c r="AD166" s="232">
        <f aca="true" t="shared" si="346" ref="AD166:AF172">T166</f>
        <v>597.582</v>
      </c>
      <c r="AE166" s="232">
        <f t="shared" si="346"/>
        <v>0</v>
      </c>
      <c r="AF166" s="232">
        <f t="shared" si="346"/>
        <v>527.598</v>
      </c>
      <c r="AG166" s="232">
        <f aca="true" t="shared" si="347" ref="AG166:AG172">AH166+AI166+AJ166+AK166</f>
        <v>0</v>
      </c>
      <c r="AH166" s="232"/>
      <c r="AI166" s="232"/>
      <c r="AJ166" s="232"/>
      <c r="AK166" s="236"/>
      <c r="AL166" s="234">
        <f aca="true" t="shared" si="348" ref="AL166:AL172">AM166+AN166+AO166+AP166</f>
        <v>1125.1799999999998</v>
      </c>
      <c r="AM166" s="232"/>
      <c r="AN166" s="232">
        <f aca="true" t="shared" si="349" ref="AN166:AN172">AD166</f>
        <v>597.582</v>
      </c>
      <c r="AO166" s="232"/>
      <c r="AP166" s="235">
        <f>AF166</f>
        <v>527.598</v>
      </c>
      <c r="AQ166" s="232">
        <f aca="true" t="shared" si="350" ref="AQ166:AQ172">AR166+AS166+AT166+AU166</f>
        <v>1023.59306</v>
      </c>
      <c r="AR166" s="232"/>
      <c r="AS166" s="232">
        <f>495.99306</f>
        <v>495.99306</v>
      </c>
      <c r="AT166" s="232"/>
      <c r="AU166" s="232">
        <v>527.6</v>
      </c>
      <c r="AV166" s="232">
        <f aca="true" t="shared" si="351" ref="AV166:AV172">AW166+AX166+AY166+AZ166</f>
        <v>1023.59106</v>
      </c>
      <c r="AW166" s="232"/>
      <c r="AX166" s="232">
        <f>495.99306</f>
        <v>495.99306</v>
      </c>
      <c r="AY166" s="232"/>
      <c r="AZ166" s="232">
        <f>AP166</f>
        <v>527.598</v>
      </c>
      <c r="BA166" s="232">
        <f aca="true" t="shared" si="352" ref="BA166:BA172">BB166+BC166+BD166+BE166</f>
        <v>53.876819999999995</v>
      </c>
      <c r="BB166" s="232"/>
      <c r="BC166" s="232">
        <v>26.10682</v>
      </c>
      <c r="BD166" s="232"/>
      <c r="BE166" s="232">
        <v>27.77</v>
      </c>
      <c r="BF166" s="232">
        <f aca="true" t="shared" si="353" ref="BF166:BF172">BG166+BH166+BI166+BJ166</f>
        <v>53.876819999999995</v>
      </c>
      <c r="BG166" s="232"/>
      <c r="BH166" s="232">
        <v>26.10682</v>
      </c>
      <c r="BI166" s="232"/>
      <c r="BJ166" s="232">
        <v>27.77</v>
      </c>
      <c r="BK166" s="232">
        <f aca="true" t="shared" si="354" ref="BK166:BK172">BL166+BM166+BN166+BO166</f>
        <v>1077.46788</v>
      </c>
      <c r="BL166" s="232">
        <f aca="true" t="shared" si="355" ref="BL166:BO172">AW166+BG166</f>
        <v>0</v>
      </c>
      <c r="BM166" s="232">
        <f t="shared" si="355"/>
        <v>522.09988</v>
      </c>
      <c r="BN166" s="232">
        <f t="shared" si="355"/>
        <v>0</v>
      </c>
      <c r="BO166" s="232">
        <f t="shared" si="355"/>
        <v>555.3679999999999</v>
      </c>
      <c r="BP166" s="316">
        <f aca="true" t="shared" si="356" ref="BP166:BP172">BQ166+BR166+BS166+BT166</f>
        <v>101.58893999999998</v>
      </c>
      <c r="BQ166" s="317">
        <f aca="true" t="shared" si="357" ref="BQ166:BT172">AM166-AW166</f>
        <v>0</v>
      </c>
      <c r="BR166" s="317">
        <f t="shared" si="357"/>
        <v>101.58893999999998</v>
      </c>
      <c r="BS166" s="317">
        <f t="shared" si="357"/>
        <v>0</v>
      </c>
      <c r="BT166" s="317">
        <f t="shared" si="357"/>
        <v>0</v>
      </c>
      <c r="BU166" s="229">
        <v>1</v>
      </c>
      <c r="BV166" s="305"/>
      <c r="BW166" s="331" t="s">
        <v>236</v>
      </c>
      <c r="BY166" s="232">
        <v>101.6</v>
      </c>
      <c r="BZ166" s="232">
        <v>1</v>
      </c>
      <c r="CA166" s="317"/>
      <c r="CB166" s="232"/>
      <c r="CC166" s="232"/>
    </row>
    <row r="167" spans="1:81" s="229" customFormat="1" ht="15" customHeight="1" hidden="1">
      <c r="A167" s="230"/>
      <c r="B167" s="239" t="s">
        <v>184</v>
      </c>
      <c r="C167" s="232">
        <f t="shared" si="337"/>
        <v>0</v>
      </c>
      <c r="D167" s="233"/>
      <c r="E167" s="232">
        <f t="shared" si="338"/>
        <v>0</v>
      </c>
      <c r="F167" s="233"/>
      <c r="G167" s="232"/>
      <c r="H167" s="232">
        <f t="shared" si="339"/>
        <v>0</v>
      </c>
      <c r="I167" s="233"/>
      <c r="J167" s="232">
        <f t="shared" si="340"/>
        <v>0</v>
      </c>
      <c r="K167" s="232">
        <f t="shared" si="341"/>
        <v>0</v>
      </c>
      <c r="L167" s="240"/>
      <c r="M167" s="232"/>
      <c r="N167" s="232"/>
      <c r="O167" s="232"/>
      <c r="P167" s="232"/>
      <c r="Q167" s="232"/>
      <c r="R167" s="234">
        <f t="shared" si="342"/>
        <v>0</v>
      </c>
      <c r="S167" s="232"/>
      <c r="T167" s="232"/>
      <c r="U167" s="232"/>
      <c r="V167" s="235"/>
      <c r="W167" s="232">
        <f t="shared" si="343"/>
        <v>0</v>
      </c>
      <c r="X167" s="232">
        <f t="shared" si="344"/>
        <v>0</v>
      </c>
      <c r="Y167" s="232">
        <f t="shared" si="344"/>
        <v>0</v>
      </c>
      <c r="Z167" s="232">
        <f t="shared" si="344"/>
        <v>0</v>
      </c>
      <c r="AA167" s="232">
        <f t="shared" si="344"/>
        <v>0</v>
      </c>
      <c r="AB167" s="232">
        <f t="shared" si="345"/>
        <v>0</v>
      </c>
      <c r="AC167" s="232"/>
      <c r="AD167" s="232">
        <f t="shared" si="346"/>
        <v>0</v>
      </c>
      <c r="AE167" s="232">
        <f t="shared" si="346"/>
        <v>0</v>
      </c>
      <c r="AF167" s="232">
        <f t="shared" si="346"/>
        <v>0</v>
      </c>
      <c r="AG167" s="232">
        <f t="shared" si="347"/>
        <v>0</v>
      </c>
      <c r="AH167" s="232"/>
      <c r="AI167" s="232"/>
      <c r="AJ167" s="232"/>
      <c r="AK167" s="236"/>
      <c r="AL167" s="234">
        <f t="shared" si="348"/>
        <v>0</v>
      </c>
      <c r="AM167" s="232"/>
      <c r="AN167" s="232">
        <f t="shared" si="349"/>
        <v>0</v>
      </c>
      <c r="AO167" s="232"/>
      <c r="AP167" s="235"/>
      <c r="AQ167" s="232">
        <f t="shared" si="350"/>
        <v>0</v>
      </c>
      <c r="AR167" s="232"/>
      <c r="AS167" s="232"/>
      <c r="AT167" s="232"/>
      <c r="AU167" s="232"/>
      <c r="AV167" s="232">
        <f t="shared" si="351"/>
        <v>0</v>
      </c>
      <c r="AW167" s="232"/>
      <c r="AX167" s="232"/>
      <c r="AY167" s="232"/>
      <c r="AZ167" s="232"/>
      <c r="BA167" s="232">
        <f t="shared" si="352"/>
        <v>0</v>
      </c>
      <c r="BB167" s="232"/>
      <c r="BC167" s="232"/>
      <c r="BD167" s="232"/>
      <c r="BE167" s="232"/>
      <c r="BF167" s="232">
        <f t="shared" si="353"/>
        <v>0</v>
      </c>
      <c r="BG167" s="232"/>
      <c r="BH167" s="232"/>
      <c r="BI167" s="232"/>
      <c r="BJ167" s="232"/>
      <c r="BK167" s="232">
        <f t="shared" si="354"/>
        <v>0</v>
      </c>
      <c r="BL167" s="232">
        <f t="shared" si="355"/>
        <v>0</v>
      </c>
      <c r="BM167" s="232">
        <f t="shared" si="355"/>
        <v>0</v>
      </c>
      <c r="BN167" s="232">
        <f t="shared" si="355"/>
        <v>0</v>
      </c>
      <c r="BO167" s="232">
        <f t="shared" si="355"/>
        <v>0</v>
      </c>
      <c r="BP167" s="316">
        <f t="shared" si="356"/>
        <v>0</v>
      </c>
      <c r="BQ167" s="317">
        <f t="shared" si="357"/>
        <v>0</v>
      </c>
      <c r="BR167" s="317">
        <f t="shared" si="357"/>
        <v>0</v>
      </c>
      <c r="BS167" s="317">
        <f t="shared" si="357"/>
        <v>0</v>
      </c>
      <c r="BT167" s="317">
        <f t="shared" si="357"/>
        <v>0</v>
      </c>
      <c r="BV167" s="305"/>
      <c r="BW167" s="332"/>
      <c r="BY167" s="232"/>
      <c r="BZ167" s="232"/>
      <c r="CA167" s="317"/>
      <c r="CB167" s="232"/>
      <c r="CC167" s="232"/>
    </row>
    <row r="168" spans="1:81" s="229" customFormat="1" ht="15" customHeight="1">
      <c r="A168" s="230">
        <v>132</v>
      </c>
      <c r="B168" s="239" t="s">
        <v>185</v>
      </c>
      <c r="C168" s="232">
        <f t="shared" si="337"/>
        <v>516.22</v>
      </c>
      <c r="D168" s="233"/>
      <c r="E168" s="232">
        <f t="shared" si="338"/>
        <v>516.22</v>
      </c>
      <c r="F168" s="233"/>
      <c r="G168" s="232"/>
      <c r="H168" s="232">
        <f t="shared" si="339"/>
        <v>1000</v>
      </c>
      <c r="I168" s="233"/>
      <c r="J168" s="232">
        <f t="shared" si="340"/>
        <v>516.22</v>
      </c>
      <c r="K168" s="232">
        <f t="shared" si="341"/>
        <v>483.78</v>
      </c>
      <c r="L168" s="240"/>
      <c r="M168" s="232">
        <f t="shared" si="300"/>
        <v>516.22</v>
      </c>
      <c r="N168" s="232"/>
      <c r="O168" s="232">
        <v>516.22</v>
      </c>
      <c r="P168" s="232"/>
      <c r="Q168" s="232"/>
      <c r="R168" s="234">
        <f t="shared" si="342"/>
        <v>516.22</v>
      </c>
      <c r="S168" s="232"/>
      <c r="T168" s="232">
        <v>516.22</v>
      </c>
      <c r="U168" s="232"/>
      <c r="V168" s="235"/>
      <c r="W168" s="232">
        <f t="shared" si="343"/>
        <v>0</v>
      </c>
      <c r="X168" s="232">
        <f t="shared" si="344"/>
        <v>0</v>
      </c>
      <c r="Y168" s="232">
        <f t="shared" si="344"/>
        <v>0</v>
      </c>
      <c r="Z168" s="232">
        <f t="shared" si="344"/>
        <v>0</v>
      </c>
      <c r="AA168" s="232">
        <f t="shared" si="344"/>
        <v>0</v>
      </c>
      <c r="AB168" s="232">
        <f t="shared" si="345"/>
        <v>516.22</v>
      </c>
      <c r="AC168" s="232"/>
      <c r="AD168" s="232">
        <f t="shared" si="346"/>
        <v>516.22</v>
      </c>
      <c r="AE168" s="232">
        <f t="shared" si="346"/>
        <v>0</v>
      </c>
      <c r="AF168" s="232">
        <f t="shared" si="346"/>
        <v>0</v>
      </c>
      <c r="AG168" s="232">
        <f t="shared" si="347"/>
        <v>0</v>
      </c>
      <c r="AH168" s="232"/>
      <c r="AI168" s="232"/>
      <c r="AJ168" s="232"/>
      <c r="AK168" s="236"/>
      <c r="AL168" s="234">
        <f t="shared" si="348"/>
        <v>516.22</v>
      </c>
      <c r="AM168" s="232"/>
      <c r="AN168" s="232">
        <f t="shared" si="349"/>
        <v>516.22</v>
      </c>
      <c r="AO168" s="232"/>
      <c r="AP168" s="235"/>
      <c r="AQ168" s="232">
        <f t="shared" si="350"/>
        <v>516.22</v>
      </c>
      <c r="AR168" s="232"/>
      <c r="AS168" s="232">
        <f>239.812+276.408</f>
        <v>516.22</v>
      </c>
      <c r="AT168" s="232"/>
      <c r="AU168" s="232"/>
      <c r="AV168" s="232">
        <f t="shared" si="351"/>
        <v>516.22</v>
      </c>
      <c r="AW168" s="232"/>
      <c r="AX168" s="232">
        <f>239.812+276.408</f>
        <v>516.22</v>
      </c>
      <c r="AY168" s="232"/>
      <c r="AZ168" s="232"/>
      <c r="BA168" s="232">
        <f t="shared" si="352"/>
        <v>483.78</v>
      </c>
      <c r="BB168" s="232"/>
      <c r="BC168" s="232">
        <v>483.78</v>
      </c>
      <c r="BD168" s="232"/>
      <c r="BE168" s="232"/>
      <c r="BF168" s="232">
        <f t="shared" si="353"/>
        <v>483.78</v>
      </c>
      <c r="BG168" s="232"/>
      <c r="BH168" s="232">
        <v>483.78</v>
      </c>
      <c r="BI168" s="232"/>
      <c r="BJ168" s="232"/>
      <c r="BK168" s="232">
        <f t="shared" si="354"/>
        <v>1000</v>
      </c>
      <c r="BL168" s="232">
        <f t="shared" si="355"/>
        <v>0</v>
      </c>
      <c r="BM168" s="232">
        <f t="shared" si="355"/>
        <v>1000</v>
      </c>
      <c r="BN168" s="232">
        <f t="shared" si="355"/>
        <v>0</v>
      </c>
      <c r="BO168" s="232">
        <f t="shared" si="355"/>
        <v>0</v>
      </c>
      <c r="BP168" s="316">
        <f t="shared" si="356"/>
        <v>0</v>
      </c>
      <c r="BQ168" s="317">
        <f t="shared" si="357"/>
        <v>0</v>
      </c>
      <c r="BR168" s="317">
        <f t="shared" si="357"/>
        <v>0</v>
      </c>
      <c r="BS168" s="317">
        <f t="shared" si="357"/>
        <v>0</v>
      </c>
      <c r="BT168" s="317">
        <f t="shared" si="357"/>
        <v>0</v>
      </c>
      <c r="BU168" s="229">
        <v>1</v>
      </c>
      <c r="BV168" s="305"/>
      <c r="BW168" s="331" t="s">
        <v>228</v>
      </c>
      <c r="BY168" s="232"/>
      <c r="BZ168" s="232">
        <v>1</v>
      </c>
      <c r="CA168" s="317"/>
      <c r="CB168" s="232"/>
      <c r="CC168" s="232"/>
    </row>
    <row r="169" spans="1:81" s="229" customFormat="1" ht="15" customHeight="1">
      <c r="A169" s="230">
        <v>133</v>
      </c>
      <c r="B169" s="239" t="s">
        <v>186</v>
      </c>
      <c r="C169" s="232">
        <f t="shared" si="337"/>
        <v>1247.601</v>
      </c>
      <c r="D169" s="233"/>
      <c r="E169" s="232">
        <f t="shared" si="338"/>
        <v>1247.601</v>
      </c>
      <c r="F169" s="233"/>
      <c r="G169" s="232"/>
      <c r="H169" s="232">
        <f t="shared" si="339"/>
        <v>1526.5890000000002</v>
      </c>
      <c r="I169" s="233"/>
      <c r="J169" s="232">
        <f t="shared" si="340"/>
        <v>1247.601</v>
      </c>
      <c r="K169" s="232">
        <f t="shared" si="341"/>
        <v>278.988</v>
      </c>
      <c r="L169" s="240"/>
      <c r="M169" s="232">
        <f t="shared" si="300"/>
        <v>1247.601</v>
      </c>
      <c r="N169" s="232"/>
      <c r="O169" s="232">
        <v>1247.601</v>
      </c>
      <c r="P169" s="232"/>
      <c r="Q169" s="232"/>
      <c r="R169" s="234">
        <f t="shared" si="342"/>
        <v>1247.601</v>
      </c>
      <c r="S169" s="232"/>
      <c r="T169" s="232">
        <v>1247.601</v>
      </c>
      <c r="U169" s="232"/>
      <c r="V169" s="235"/>
      <c r="W169" s="232">
        <f t="shared" si="343"/>
        <v>0</v>
      </c>
      <c r="X169" s="232">
        <f t="shared" si="344"/>
        <v>0</v>
      </c>
      <c r="Y169" s="232">
        <f t="shared" si="344"/>
        <v>0</v>
      </c>
      <c r="Z169" s="232">
        <f t="shared" si="344"/>
        <v>0</v>
      </c>
      <c r="AA169" s="232">
        <f t="shared" si="344"/>
        <v>0</v>
      </c>
      <c r="AB169" s="232">
        <f t="shared" si="345"/>
        <v>1247.601</v>
      </c>
      <c r="AC169" s="232"/>
      <c r="AD169" s="232">
        <f t="shared" si="346"/>
        <v>1247.601</v>
      </c>
      <c r="AE169" s="232">
        <f t="shared" si="346"/>
        <v>0</v>
      </c>
      <c r="AF169" s="232">
        <f t="shared" si="346"/>
        <v>0</v>
      </c>
      <c r="AG169" s="232">
        <f t="shared" si="347"/>
        <v>0</v>
      </c>
      <c r="AH169" s="232"/>
      <c r="AI169" s="232"/>
      <c r="AJ169" s="232"/>
      <c r="AK169" s="236"/>
      <c r="AL169" s="234">
        <f t="shared" si="348"/>
        <v>1247.601</v>
      </c>
      <c r="AM169" s="232"/>
      <c r="AN169" s="232">
        <f t="shared" si="349"/>
        <v>1247.601</v>
      </c>
      <c r="AO169" s="232"/>
      <c r="AP169" s="235"/>
      <c r="AQ169" s="232">
        <f t="shared" si="350"/>
        <v>1247.601</v>
      </c>
      <c r="AR169" s="232"/>
      <c r="AS169" s="232">
        <f>668.022+579.579</f>
        <v>1247.601</v>
      </c>
      <c r="AT169" s="232"/>
      <c r="AU169" s="232"/>
      <c r="AV169" s="232">
        <f t="shared" si="351"/>
        <v>1247.601</v>
      </c>
      <c r="AW169" s="232"/>
      <c r="AX169" s="232">
        <f>668.022+579.579</f>
        <v>1247.601</v>
      </c>
      <c r="AY169" s="232"/>
      <c r="AZ169" s="232"/>
      <c r="BA169" s="232">
        <f t="shared" si="352"/>
        <v>278.988</v>
      </c>
      <c r="BB169" s="232"/>
      <c r="BC169" s="232">
        <v>278.988</v>
      </c>
      <c r="BD169" s="232"/>
      <c r="BE169" s="232"/>
      <c r="BF169" s="232">
        <f t="shared" si="353"/>
        <v>278.988</v>
      </c>
      <c r="BG169" s="232"/>
      <c r="BH169" s="232">
        <v>278.988</v>
      </c>
      <c r="BI169" s="232"/>
      <c r="BJ169" s="232"/>
      <c r="BK169" s="232">
        <f t="shared" si="354"/>
        <v>1526.5890000000002</v>
      </c>
      <c r="BL169" s="232">
        <f t="shared" si="355"/>
        <v>0</v>
      </c>
      <c r="BM169" s="232">
        <f t="shared" si="355"/>
        <v>1526.5890000000002</v>
      </c>
      <c r="BN169" s="232">
        <f t="shared" si="355"/>
        <v>0</v>
      </c>
      <c r="BO169" s="232">
        <f t="shared" si="355"/>
        <v>0</v>
      </c>
      <c r="BP169" s="316">
        <f t="shared" si="356"/>
        <v>0</v>
      </c>
      <c r="BQ169" s="317">
        <f t="shared" si="357"/>
        <v>0</v>
      </c>
      <c r="BR169" s="317">
        <f t="shared" si="357"/>
        <v>0</v>
      </c>
      <c r="BS169" s="317">
        <f t="shared" si="357"/>
        <v>0</v>
      </c>
      <c r="BT169" s="317">
        <f t="shared" si="357"/>
        <v>0</v>
      </c>
      <c r="BU169" s="229">
        <v>1</v>
      </c>
      <c r="BV169" s="305"/>
      <c r="BW169" s="331" t="s">
        <v>228</v>
      </c>
      <c r="BY169" s="232"/>
      <c r="BZ169" s="232">
        <v>1</v>
      </c>
      <c r="CA169" s="317"/>
      <c r="CB169" s="232"/>
      <c r="CC169" s="232"/>
    </row>
    <row r="170" spans="1:81" s="229" customFormat="1" ht="15" customHeight="1">
      <c r="A170" s="230">
        <v>134</v>
      </c>
      <c r="B170" s="239" t="s">
        <v>187</v>
      </c>
      <c r="C170" s="232">
        <f t="shared" si="337"/>
        <v>16751.337</v>
      </c>
      <c r="D170" s="233"/>
      <c r="E170" s="232">
        <f t="shared" si="338"/>
        <v>16751.337</v>
      </c>
      <c r="F170" s="233"/>
      <c r="G170" s="232"/>
      <c r="H170" s="232">
        <f t="shared" si="339"/>
        <v>17647.488</v>
      </c>
      <c r="I170" s="233"/>
      <c r="J170" s="232">
        <f t="shared" si="340"/>
        <v>16751.337</v>
      </c>
      <c r="K170" s="232">
        <f t="shared" si="341"/>
        <v>896.1510000000001</v>
      </c>
      <c r="L170" s="240"/>
      <c r="M170" s="232">
        <f t="shared" si="300"/>
        <v>16751.337</v>
      </c>
      <c r="N170" s="232"/>
      <c r="O170" s="232">
        <v>4251.337</v>
      </c>
      <c r="P170" s="232">
        <v>12500</v>
      </c>
      <c r="Q170" s="232"/>
      <c r="R170" s="234">
        <f t="shared" si="342"/>
        <v>16751.337</v>
      </c>
      <c r="S170" s="232"/>
      <c r="T170" s="232">
        <v>4251.337</v>
      </c>
      <c r="U170" s="232">
        <v>12500</v>
      </c>
      <c r="V170" s="235"/>
      <c r="W170" s="232">
        <f t="shared" si="343"/>
        <v>0</v>
      </c>
      <c r="X170" s="232">
        <f t="shared" si="344"/>
        <v>0</v>
      </c>
      <c r="Y170" s="232">
        <f t="shared" si="344"/>
        <v>0</v>
      </c>
      <c r="Z170" s="232">
        <f t="shared" si="344"/>
        <v>0</v>
      </c>
      <c r="AA170" s="232">
        <f t="shared" si="344"/>
        <v>0</v>
      </c>
      <c r="AB170" s="232">
        <f t="shared" si="345"/>
        <v>16751.337</v>
      </c>
      <c r="AC170" s="232"/>
      <c r="AD170" s="232">
        <f t="shared" si="346"/>
        <v>4251.337</v>
      </c>
      <c r="AE170" s="232">
        <f t="shared" si="346"/>
        <v>12500</v>
      </c>
      <c r="AF170" s="232">
        <f t="shared" si="346"/>
        <v>0</v>
      </c>
      <c r="AG170" s="232">
        <f t="shared" si="347"/>
        <v>0</v>
      </c>
      <c r="AH170" s="232"/>
      <c r="AI170" s="232"/>
      <c r="AJ170" s="232"/>
      <c r="AK170" s="236"/>
      <c r="AL170" s="234">
        <f t="shared" si="348"/>
        <v>16751.337</v>
      </c>
      <c r="AM170" s="232"/>
      <c r="AN170" s="232">
        <f t="shared" si="349"/>
        <v>4251.337</v>
      </c>
      <c r="AO170" s="232">
        <f>AE170</f>
        <v>12500</v>
      </c>
      <c r="AP170" s="235"/>
      <c r="AQ170" s="232">
        <f t="shared" si="350"/>
        <v>16751.337</v>
      </c>
      <c r="AR170" s="232"/>
      <c r="AS170" s="232">
        <v>4251.337</v>
      </c>
      <c r="AT170" s="232">
        <v>12500</v>
      </c>
      <c r="AU170" s="232"/>
      <c r="AV170" s="232">
        <f t="shared" si="351"/>
        <v>16751.337</v>
      </c>
      <c r="AW170" s="232"/>
      <c r="AX170" s="232">
        <v>4251.337</v>
      </c>
      <c r="AY170" s="232">
        <v>12500</v>
      </c>
      <c r="AZ170" s="232"/>
      <c r="BA170" s="232">
        <f t="shared" si="352"/>
        <v>896.1510000000001</v>
      </c>
      <c r="BB170" s="232"/>
      <c r="BC170" s="232">
        <v>227.254</v>
      </c>
      <c r="BD170" s="232">
        <v>668.897</v>
      </c>
      <c r="BE170" s="232"/>
      <c r="BF170" s="232">
        <f t="shared" si="353"/>
        <v>896.1510000000001</v>
      </c>
      <c r="BG170" s="232"/>
      <c r="BH170" s="232">
        <v>227.254</v>
      </c>
      <c r="BI170" s="232">
        <v>668.897</v>
      </c>
      <c r="BJ170" s="232"/>
      <c r="BK170" s="232">
        <f t="shared" si="354"/>
        <v>17647.488</v>
      </c>
      <c r="BL170" s="232">
        <f t="shared" si="355"/>
        <v>0</v>
      </c>
      <c r="BM170" s="232">
        <f t="shared" si="355"/>
        <v>4478.591</v>
      </c>
      <c r="BN170" s="232">
        <f t="shared" si="355"/>
        <v>13168.897</v>
      </c>
      <c r="BO170" s="232">
        <f t="shared" si="355"/>
        <v>0</v>
      </c>
      <c r="BP170" s="316">
        <f t="shared" si="356"/>
        <v>0</v>
      </c>
      <c r="BQ170" s="317">
        <f t="shared" si="357"/>
        <v>0</v>
      </c>
      <c r="BR170" s="317">
        <f t="shared" si="357"/>
        <v>0</v>
      </c>
      <c r="BS170" s="317">
        <f t="shared" si="357"/>
        <v>0</v>
      </c>
      <c r="BT170" s="317">
        <f t="shared" si="357"/>
        <v>0</v>
      </c>
      <c r="BU170" s="229">
        <v>1</v>
      </c>
      <c r="BV170" s="305"/>
      <c r="BW170" s="331" t="s">
        <v>228</v>
      </c>
      <c r="BY170" s="232"/>
      <c r="BZ170" s="232">
        <v>1</v>
      </c>
      <c r="CA170" s="317"/>
      <c r="CB170" s="232"/>
      <c r="CC170" s="232"/>
    </row>
    <row r="171" spans="1:81" s="229" customFormat="1" ht="15" customHeight="1">
      <c r="A171" s="230">
        <v>135</v>
      </c>
      <c r="B171" s="239" t="s">
        <v>188</v>
      </c>
      <c r="C171" s="232">
        <f t="shared" si="337"/>
        <v>2049.807</v>
      </c>
      <c r="D171" s="233"/>
      <c r="E171" s="232">
        <f t="shared" si="338"/>
        <v>2049.807</v>
      </c>
      <c r="F171" s="233"/>
      <c r="G171" s="232"/>
      <c r="H171" s="232">
        <f t="shared" si="339"/>
        <v>3704.96564</v>
      </c>
      <c r="I171" s="233"/>
      <c r="J171" s="232">
        <f t="shared" si="340"/>
        <v>2049.807</v>
      </c>
      <c r="K171" s="232">
        <f t="shared" si="341"/>
        <v>1655.15864</v>
      </c>
      <c r="L171" s="240"/>
      <c r="M171" s="232">
        <f t="shared" si="300"/>
        <v>2049.807</v>
      </c>
      <c r="N171" s="232"/>
      <c r="O171" s="232">
        <v>1097.56</v>
      </c>
      <c r="P171" s="232"/>
      <c r="Q171" s="232">
        <v>952.247</v>
      </c>
      <c r="R171" s="234">
        <f t="shared" si="342"/>
        <v>2049.807</v>
      </c>
      <c r="S171" s="232"/>
      <c r="T171" s="232">
        <f>1097.56</f>
        <v>1097.56</v>
      </c>
      <c r="U171" s="232"/>
      <c r="V171" s="235">
        <v>952.247</v>
      </c>
      <c r="W171" s="232">
        <f t="shared" si="343"/>
        <v>0</v>
      </c>
      <c r="X171" s="232">
        <f t="shared" si="344"/>
        <v>0</v>
      </c>
      <c r="Y171" s="232">
        <f t="shared" si="344"/>
        <v>0</v>
      </c>
      <c r="Z171" s="232">
        <f t="shared" si="344"/>
        <v>0</v>
      </c>
      <c r="AA171" s="232">
        <f t="shared" si="344"/>
        <v>0</v>
      </c>
      <c r="AB171" s="232">
        <f t="shared" si="345"/>
        <v>2049.807</v>
      </c>
      <c r="AC171" s="232"/>
      <c r="AD171" s="232">
        <f t="shared" si="346"/>
        <v>1097.56</v>
      </c>
      <c r="AE171" s="232">
        <f t="shared" si="346"/>
        <v>0</v>
      </c>
      <c r="AF171" s="232">
        <f t="shared" si="346"/>
        <v>952.247</v>
      </c>
      <c r="AG171" s="232">
        <f t="shared" si="347"/>
        <v>0</v>
      </c>
      <c r="AH171" s="232"/>
      <c r="AI171" s="232"/>
      <c r="AJ171" s="232"/>
      <c r="AK171" s="236"/>
      <c r="AL171" s="234">
        <f t="shared" si="348"/>
        <v>2049.807</v>
      </c>
      <c r="AM171" s="232"/>
      <c r="AN171" s="232">
        <f t="shared" si="349"/>
        <v>1097.56</v>
      </c>
      <c r="AO171" s="232"/>
      <c r="AP171" s="235">
        <f>AF171</f>
        <v>952.247</v>
      </c>
      <c r="AQ171" s="232">
        <f t="shared" si="350"/>
        <v>2049.807</v>
      </c>
      <c r="AR171" s="232"/>
      <c r="AS171" s="232">
        <v>1097.56</v>
      </c>
      <c r="AT171" s="232"/>
      <c r="AU171" s="232">
        <v>952.247</v>
      </c>
      <c r="AV171" s="232">
        <f t="shared" si="351"/>
        <v>2049.807</v>
      </c>
      <c r="AW171" s="232"/>
      <c r="AX171" s="232">
        <v>1097.56</v>
      </c>
      <c r="AY171" s="232"/>
      <c r="AZ171" s="232">
        <v>952.247</v>
      </c>
      <c r="BA171" s="232">
        <f t="shared" si="352"/>
        <v>1655.15864</v>
      </c>
      <c r="BB171" s="232"/>
      <c r="BC171" s="232">
        <v>1565.4466</v>
      </c>
      <c r="BD171" s="232"/>
      <c r="BE171" s="232">
        <v>89.71204</v>
      </c>
      <c r="BF171" s="232">
        <f t="shared" si="353"/>
        <v>1655.15864</v>
      </c>
      <c r="BG171" s="232"/>
      <c r="BH171" s="232">
        <v>1565.4466</v>
      </c>
      <c r="BI171" s="232"/>
      <c r="BJ171" s="232">
        <v>89.71204</v>
      </c>
      <c r="BK171" s="232">
        <f t="shared" si="354"/>
        <v>3704.9656399999994</v>
      </c>
      <c r="BL171" s="232">
        <f t="shared" si="355"/>
        <v>0</v>
      </c>
      <c r="BM171" s="232">
        <f t="shared" si="355"/>
        <v>2663.0065999999997</v>
      </c>
      <c r="BN171" s="232">
        <f t="shared" si="355"/>
        <v>0</v>
      </c>
      <c r="BO171" s="232">
        <f t="shared" si="355"/>
        <v>1041.95904</v>
      </c>
      <c r="BP171" s="316">
        <f t="shared" si="356"/>
        <v>0</v>
      </c>
      <c r="BQ171" s="317">
        <f t="shared" si="357"/>
        <v>0</v>
      </c>
      <c r="BR171" s="317">
        <f t="shared" si="357"/>
        <v>0</v>
      </c>
      <c r="BS171" s="317">
        <f t="shared" si="357"/>
        <v>0</v>
      </c>
      <c r="BT171" s="317">
        <f t="shared" si="357"/>
        <v>0</v>
      </c>
      <c r="BU171" s="229">
        <v>1</v>
      </c>
      <c r="BV171" s="305"/>
      <c r="BW171" s="331" t="s">
        <v>228</v>
      </c>
      <c r="BY171" s="232"/>
      <c r="BZ171" s="232">
        <v>1</v>
      </c>
      <c r="CA171" s="317"/>
      <c r="CB171" s="232"/>
      <c r="CC171" s="232"/>
    </row>
    <row r="172" spans="1:81" s="229" customFormat="1" ht="15" customHeight="1">
      <c r="A172" s="230">
        <v>136</v>
      </c>
      <c r="B172" s="231" t="s">
        <v>189</v>
      </c>
      <c r="C172" s="232">
        <f t="shared" si="337"/>
        <v>738.195</v>
      </c>
      <c r="D172" s="233"/>
      <c r="E172" s="232">
        <f t="shared" si="338"/>
        <v>738.195</v>
      </c>
      <c r="F172" s="233"/>
      <c r="G172" s="232"/>
      <c r="H172" s="232">
        <f t="shared" si="339"/>
        <v>826.45396</v>
      </c>
      <c r="I172" s="233"/>
      <c r="J172" s="232">
        <f t="shared" si="340"/>
        <v>738.195</v>
      </c>
      <c r="K172" s="232">
        <f t="shared" si="341"/>
        <v>88.25896</v>
      </c>
      <c r="L172" s="233"/>
      <c r="M172" s="232">
        <f t="shared" si="300"/>
        <v>738.195</v>
      </c>
      <c r="N172" s="232"/>
      <c r="O172" s="232">
        <v>738.195</v>
      </c>
      <c r="P172" s="232"/>
      <c r="Q172" s="232"/>
      <c r="R172" s="234">
        <f t="shared" si="342"/>
        <v>738.195</v>
      </c>
      <c r="S172" s="232"/>
      <c r="T172" s="232">
        <v>738.195</v>
      </c>
      <c r="U172" s="232"/>
      <c r="V172" s="235"/>
      <c r="W172" s="232">
        <f t="shared" si="343"/>
        <v>0</v>
      </c>
      <c r="X172" s="232">
        <f t="shared" si="344"/>
        <v>0</v>
      </c>
      <c r="Y172" s="232">
        <f t="shared" si="344"/>
        <v>0</v>
      </c>
      <c r="Z172" s="232">
        <f t="shared" si="344"/>
        <v>0</v>
      </c>
      <c r="AA172" s="232">
        <f t="shared" si="344"/>
        <v>0</v>
      </c>
      <c r="AB172" s="232">
        <f t="shared" si="345"/>
        <v>738.195</v>
      </c>
      <c r="AC172" s="232"/>
      <c r="AD172" s="232">
        <f t="shared" si="346"/>
        <v>738.195</v>
      </c>
      <c r="AE172" s="232">
        <f t="shared" si="346"/>
        <v>0</v>
      </c>
      <c r="AF172" s="232">
        <f t="shared" si="346"/>
        <v>0</v>
      </c>
      <c r="AG172" s="232">
        <f t="shared" si="347"/>
        <v>0</v>
      </c>
      <c r="AH172" s="232"/>
      <c r="AI172" s="232"/>
      <c r="AJ172" s="232"/>
      <c r="AK172" s="236"/>
      <c r="AL172" s="234">
        <f t="shared" si="348"/>
        <v>738.195</v>
      </c>
      <c r="AM172" s="232"/>
      <c r="AN172" s="232">
        <f t="shared" si="349"/>
        <v>738.195</v>
      </c>
      <c r="AO172" s="232"/>
      <c r="AP172" s="235"/>
      <c r="AQ172" s="232">
        <f t="shared" si="350"/>
        <v>738.195</v>
      </c>
      <c r="AR172" s="232"/>
      <c r="AS172" s="232">
        <v>738.195</v>
      </c>
      <c r="AT172" s="232"/>
      <c r="AU172" s="232"/>
      <c r="AV172" s="232">
        <f t="shared" si="351"/>
        <v>738.195</v>
      </c>
      <c r="AW172" s="232"/>
      <c r="AX172" s="232">
        <v>738.195</v>
      </c>
      <c r="AY172" s="232"/>
      <c r="AZ172" s="232"/>
      <c r="BA172" s="232">
        <f t="shared" si="352"/>
        <v>88.25896</v>
      </c>
      <c r="BB172" s="232"/>
      <c r="BC172" s="232">
        <v>88.25896</v>
      </c>
      <c r="BD172" s="232"/>
      <c r="BE172" s="232"/>
      <c r="BF172" s="232">
        <f t="shared" si="353"/>
        <v>88.25896</v>
      </c>
      <c r="BG172" s="232"/>
      <c r="BH172" s="232">
        <v>88.25896</v>
      </c>
      <c r="BI172" s="232"/>
      <c r="BJ172" s="232"/>
      <c r="BK172" s="232">
        <f t="shared" si="354"/>
        <v>826.45396</v>
      </c>
      <c r="BL172" s="232">
        <f t="shared" si="355"/>
        <v>0</v>
      </c>
      <c r="BM172" s="232">
        <f t="shared" si="355"/>
        <v>826.45396</v>
      </c>
      <c r="BN172" s="232">
        <f t="shared" si="355"/>
        <v>0</v>
      </c>
      <c r="BO172" s="232">
        <f t="shared" si="355"/>
        <v>0</v>
      </c>
      <c r="BP172" s="316">
        <f t="shared" si="356"/>
        <v>0</v>
      </c>
      <c r="BQ172" s="317">
        <f t="shared" si="357"/>
        <v>0</v>
      </c>
      <c r="BR172" s="317">
        <f t="shared" si="357"/>
        <v>0</v>
      </c>
      <c r="BS172" s="317">
        <f t="shared" si="357"/>
        <v>0</v>
      </c>
      <c r="BT172" s="317">
        <f t="shared" si="357"/>
        <v>0</v>
      </c>
      <c r="BU172" s="229">
        <v>1</v>
      </c>
      <c r="BV172" s="305"/>
      <c r="BW172" s="331" t="s">
        <v>228</v>
      </c>
      <c r="BY172" s="232"/>
      <c r="BZ172" s="232">
        <v>1</v>
      </c>
      <c r="CA172" s="317"/>
      <c r="CB172" s="232"/>
      <c r="CC172" s="232"/>
    </row>
    <row r="173" spans="1:81" s="229" customFormat="1" ht="15" customHeight="1">
      <c r="A173" s="238"/>
      <c r="B173" s="301" t="s">
        <v>14</v>
      </c>
      <c r="C173" s="228">
        <f aca="true" t="shared" si="358" ref="C173:K173">SUM(C174:C181)</f>
        <v>75446.47899999999</v>
      </c>
      <c r="D173" s="228">
        <f t="shared" si="358"/>
        <v>0</v>
      </c>
      <c r="E173" s="228">
        <f t="shared" si="358"/>
        <v>75446.47899999999</v>
      </c>
      <c r="F173" s="228">
        <f t="shared" si="358"/>
        <v>0</v>
      </c>
      <c r="G173" s="228">
        <f t="shared" si="358"/>
        <v>0</v>
      </c>
      <c r="H173" s="228">
        <f t="shared" si="358"/>
        <v>82085.02749999998</v>
      </c>
      <c r="I173" s="228">
        <f t="shared" si="358"/>
        <v>0</v>
      </c>
      <c r="J173" s="228">
        <f t="shared" si="358"/>
        <v>75153.87539999999</v>
      </c>
      <c r="K173" s="228">
        <f t="shared" si="358"/>
        <v>6931.1521</v>
      </c>
      <c r="L173" s="224"/>
      <c r="M173" s="223">
        <f t="shared" si="300"/>
        <v>75446.479</v>
      </c>
      <c r="N173" s="223">
        <f>SUM(N174:N181)</f>
        <v>0</v>
      </c>
      <c r="O173" s="223">
        <f>SUM(O174:O181)</f>
        <v>11447.193</v>
      </c>
      <c r="P173" s="223">
        <f>SUM(P174:P181)</f>
        <v>58520.72</v>
      </c>
      <c r="Q173" s="223">
        <f>SUM(Q174:Q181)</f>
        <v>5478.566</v>
      </c>
      <c r="R173" s="225">
        <f aca="true" t="shared" si="359" ref="R173:AP173">SUM(R174:R181)</f>
        <v>75153.87539999999</v>
      </c>
      <c r="S173" s="223">
        <f t="shared" si="359"/>
        <v>0</v>
      </c>
      <c r="T173" s="223">
        <f t="shared" si="359"/>
        <v>11447.193</v>
      </c>
      <c r="U173" s="223">
        <f t="shared" si="359"/>
        <v>58228.1164</v>
      </c>
      <c r="V173" s="226">
        <f t="shared" si="359"/>
        <v>5478.566</v>
      </c>
      <c r="W173" s="223">
        <f t="shared" si="359"/>
        <v>292.6036000000022</v>
      </c>
      <c r="X173" s="223">
        <f t="shared" si="359"/>
        <v>0</v>
      </c>
      <c r="Y173" s="223">
        <f t="shared" si="359"/>
        <v>0</v>
      </c>
      <c r="Z173" s="223">
        <f t="shared" si="359"/>
        <v>292.6036000000022</v>
      </c>
      <c r="AA173" s="223">
        <f t="shared" si="359"/>
        <v>0</v>
      </c>
      <c r="AB173" s="223">
        <f t="shared" si="359"/>
        <v>75153.87539999999</v>
      </c>
      <c r="AC173" s="223">
        <f t="shared" si="359"/>
        <v>0</v>
      </c>
      <c r="AD173" s="223">
        <f t="shared" si="359"/>
        <v>11447.193</v>
      </c>
      <c r="AE173" s="223">
        <f t="shared" si="359"/>
        <v>58228.1164</v>
      </c>
      <c r="AF173" s="223">
        <f t="shared" si="359"/>
        <v>5478.566</v>
      </c>
      <c r="AG173" s="223">
        <f t="shared" si="359"/>
        <v>0</v>
      </c>
      <c r="AH173" s="223">
        <f t="shared" si="359"/>
        <v>0</v>
      </c>
      <c r="AI173" s="223">
        <f t="shared" si="359"/>
        <v>0</v>
      </c>
      <c r="AJ173" s="223">
        <f t="shared" si="359"/>
        <v>0</v>
      </c>
      <c r="AK173" s="227">
        <f t="shared" si="359"/>
        <v>0</v>
      </c>
      <c r="AL173" s="225">
        <f t="shared" si="359"/>
        <v>75153.87539999999</v>
      </c>
      <c r="AM173" s="223">
        <f t="shared" si="359"/>
        <v>0</v>
      </c>
      <c r="AN173" s="223">
        <f t="shared" si="359"/>
        <v>11447.193</v>
      </c>
      <c r="AO173" s="223">
        <f t="shared" si="359"/>
        <v>58228.1164</v>
      </c>
      <c r="AP173" s="226">
        <f t="shared" si="359"/>
        <v>5478.566</v>
      </c>
      <c r="AQ173" s="223">
        <f aca="true" t="shared" si="360" ref="AQ173:BE173">SUM(AQ174:AQ181)</f>
        <v>75151.11739999999</v>
      </c>
      <c r="AR173" s="223">
        <f t="shared" si="360"/>
        <v>0</v>
      </c>
      <c r="AS173" s="223">
        <f t="shared" si="360"/>
        <v>11444.435000000001</v>
      </c>
      <c r="AT173" s="223">
        <f t="shared" si="360"/>
        <v>58228.11639999999</v>
      </c>
      <c r="AU173" s="223">
        <f t="shared" si="360"/>
        <v>5478.566</v>
      </c>
      <c r="AV173" s="223">
        <f t="shared" si="360"/>
        <v>75151.11739999999</v>
      </c>
      <c r="AW173" s="223">
        <f t="shared" si="360"/>
        <v>0</v>
      </c>
      <c r="AX173" s="223">
        <f t="shared" si="360"/>
        <v>11444.435000000001</v>
      </c>
      <c r="AY173" s="223">
        <f t="shared" si="360"/>
        <v>58228.11639999999</v>
      </c>
      <c r="AZ173" s="223">
        <f t="shared" si="360"/>
        <v>5478.566</v>
      </c>
      <c r="BA173" s="223">
        <f t="shared" si="360"/>
        <v>6931.1521</v>
      </c>
      <c r="BB173" s="223">
        <f t="shared" si="360"/>
        <v>0</v>
      </c>
      <c r="BC173" s="223">
        <f t="shared" si="360"/>
        <v>2955.44949</v>
      </c>
      <c r="BD173" s="223">
        <f t="shared" si="360"/>
        <v>3068.90254</v>
      </c>
      <c r="BE173" s="223">
        <f t="shared" si="360"/>
        <v>906.80007</v>
      </c>
      <c r="BF173" s="223">
        <f aca="true" t="shared" si="361" ref="BF173:BT173">SUM(BF174:BF181)</f>
        <v>6931.1521</v>
      </c>
      <c r="BG173" s="223">
        <f t="shared" si="361"/>
        <v>0</v>
      </c>
      <c r="BH173" s="223">
        <f t="shared" si="361"/>
        <v>2955.44949</v>
      </c>
      <c r="BI173" s="223">
        <f t="shared" si="361"/>
        <v>3068.90254</v>
      </c>
      <c r="BJ173" s="223">
        <f t="shared" si="361"/>
        <v>906.80007</v>
      </c>
      <c r="BK173" s="223">
        <f t="shared" si="361"/>
        <v>82082.26950000001</v>
      </c>
      <c r="BL173" s="223">
        <f t="shared" si="361"/>
        <v>0</v>
      </c>
      <c r="BM173" s="223">
        <f t="shared" si="361"/>
        <v>14399.88449</v>
      </c>
      <c r="BN173" s="223">
        <f t="shared" si="361"/>
        <v>61297.018939999994</v>
      </c>
      <c r="BO173" s="223">
        <f t="shared" si="361"/>
        <v>6385.366069999999</v>
      </c>
      <c r="BP173" s="314">
        <f t="shared" si="361"/>
        <v>2.757999999999811</v>
      </c>
      <c r="BQ173" s="315">
        <f t="shared" si="361"/>
        <v>0</v>
      </c>
      <c r="BR173" s="315">
        <f t="shared" si="361"/>
        <v>2.757999999999811</v>
      </c>
      <c r="BS173" s="315">
        <f t="shared" si="361"/>
        <v>0</v>
      </c>
      <c r="BT173" s="315">
        <f t="shared" si="361"/>
        <v>0</v>
      </c>
      <c r="BV173" s="305"/>
      <c r="BW173" s="349" t="s">
        <v>293</v>
      </c>
      <c r="BY173" s="223">
        <f>SUM(BY174:BY181)</f>
        <v>2.8</v>
      </c>
      <c r="BZ173" s="223">
        <f>SUM(BZ174:BZ181)</f>
        <v>8</v>
      </c>
      <c r="CA173" s="315">
        <f>SUM(CA174:CA181)</f>
        <v>0</v>
      </c>
      <c r="CB173" s="223">
        <f>SUM(CB174:CB181)</f>
        <v>0</v>
      </c>
      <c r="CC173" s="223">
        <f>SUM(CC174:CC181)</f>
        <v>0</v>
      </c>
    </row>
    <row r="174" spans="1:81" s="229" customFormat="1" ht="15" customHeight="1">
      <c r="A174" s="230">
        <v>137</v>
      </c>
      <c r="B174" s="239" t="s">
        <v>190</v>
      </c>
      <c r="C174" s="232">
        <f aca="true" t="shared" si="362" ref="C174:C181">E174+D174+F174</f>
        <v>1031.408</v>
      </c>
      <c r="D174" s="233"/>
      <c r="E174" s="232">
        <f aca="true" t="shared" si="363" ref="E174:E181">M174</f>
        <v>1031.408</v>
      </c>
      <c r="F174" s="233"/>
      <c r="G174" s="232"/>
      <c r="H174" s="232">
        <f aca="true" t="shared" si="364" ref="H174:H181">I174+J174+K174</f>
        <v>1870.56304</v>
      </c>
      <c r="I174" s="233"/>
      <c r="J174" s="232">
        <f aca="true" t="shared" si="365" ref="J174:J181">AL174</f>
        <v>1031.408</v>
      </c>
      <c r="K174" s="232">
        <f aca="true" t="shared" si="366" ref="K174:K181">BF174</f>
        <v>839.15504</v>
      </c>
      <c r="L174" s="240"/>
      <c r="M174" s="232">
        <f t="shared" si="300"/>
        <v>1031.408</v>
      </c>
      <c r="N174" s="232"/>
      <c r="O174" s="232">
        <v>1031.408</v>
      </c>
      <c r="P174" s="232"/>
      <c r="Q174" s="232"/>
      <c r="R174" s="234">
        <f aca="true" t="shared" si="367" ref="R174:R181">S174+T174+U174+V174</f>
        <v>1031.408</v>
      </c>
      <c r="S174" s="232"/>
      <c r="T174" s="232">
        <v>1031.408</v>
      </c>
      <c r="U174" s="232"/>
      <c r="V174" s="235"/>
      <c r="W174" s="232">
        <f aca="true" t="shared" si="368" ref="W174:W181">X174+Y174+Z174+AA174</f>
        <v>0</v>
      </c>
      <c r="X174" s="232">
        <f aca="true" t="shared" si="369" ref="X174:AA181">N174-S174</f>
        <v>0</v>
      </c>
      <c r="Y174" s="232">
        <f t="shared" si="369"/>
        <v>0</v>
      </c>
      <c r="Z174" s="232">
        <f t="shared" si="369"/>
        <v>0</v>
      </c>
      <c r="AA174" s="232">
        <f t="shared" si="369"/>
        <v>0</v>
      </c>
      <c r="AB174" s="232">
        <f aca="true" t="shared" si="370" ref="AB174:AB181">AC174+AD174+AE174+AF174</f>
        <v>1031.408</v>
      </c>
      <c r="AC174" s="232"/>
      <c r="AD174" s="232">
        <f aca="true" t="shared" si="371" ref="AD174:AF181">T174</f>
        <v>1031.408</v>
      </c>
      <c r="AE174" s="232">
        <f t="shared" si="371"/>
        <v>0</v>
      </c>
      <c r="AF174" s="232">
        <f t="shared" si="371"/>
        <v>0</v>
      </c>
      <c r="AG174" s="232">
        <f aca="true" t="shared" si="372" ref="AG174:AG181">AH174+AI174+AJ174+AK174</f>
        <v>0</v>
      </c>
      <c r="AH174" s="232"/>
      <c r="AI174" s="232"/>
      <c r="AJ174" s="232"/>
      <c r="AK174" s="236"/>
      <c r="AL174" s="234">
        <f aca="true" t="shared" si="373" ref="AL174:AL181">AM174+AN174+AO174+AP174</f>
        <v>1031.408</v>
      </c>
      <c r="AM174" s="232"/>
      <c r="AN174" s="232">
        <f aca="true" t="shared" si="374" ref="AN174:AN181">AD174</f>
        <v>1031.408</v>
      </c>
      <c r="AO174" s="232"/>
      <c r="AP174" s="235"/>
      <c r="AQ174" s="232">
        <f aca="true" t="shared" si="375" ref="AQ174:AQ181">AR174+AS174+AT174+AU174</f>
        <v>1028.65</v>
      </c>
      <c r="AR174" s="232"/>
      <c r="AS174" s="232">
        <f>479.145+549.505</f>
        <v>1028.65</v>
      </c>
      <c r="AT174" s="232"/>
      <c r="AU174" s="232"/>
      <c r="AV174" s="232">
        <f aca="true" t="shared" si="376" ref="AV174:AV181">AW174+AX174+AY174+AZ174</f>
        <v>1028.65</v>
      </c>
      <c r="AW174" s="232"/>
      <c r="AX174" s="232">
        <f>479.145+549.505</f>
        <v>1028.65</v>
      </c>
      <c r="AY174" s="232"/>
      <c r="AZ174" s="232"/>
      <c r="BA174" s="232">
        <f aca="true" t="shared" si="377" ref="BA174:BA181">BB174+BC174+BD174+BE174</f>
        <v>839.15504</v>
      </c>
      <c r="BB174" s="232"/>
      <c r="BC174" s="232">
        <v>839.15504</v>
      </c>
      <c r="BD174" s="232"/>
      <c r="BE174" s="232"/>
      <c r="BF174" s="232">
        <f aca="true" t="shared" si="378" ref="BF174:BF181">BG174+BH174+BI174+BJ174</f>
        <v>839.15504</v>
      </c>
      <c r="BG174" s="232"/>
      <c r="BH174" s="232">
        <v>839.15504</v>
      </c>
      <c r="BI174" s="232"/>
      <c r="BJ174" s="232"/>
      <c r="BK174" s="232">
        <f aca="true" t="shared" si="379" ref="BK174:BK181">BL174+BM174+BN174+BO174</f>
        <v>1867.8050400000002</v>
      </c>
      <c r="BL174" s="232">
        <f aca="true" t="shared" si="380" ref="BL174:BO181">AW174+BG174</f>
        <v>0</v>
      </c>
      <c r="BM174" s="232">
        <f t="shared" si="380"/>
        <v>1867.8050400000002</v>
      </c>
      <c r="BN174" s="232">
        <f t="shared" si="380"/>
        <v>0</v>
      </c>
      <c r="BO174" s="232">
        <f t="shared" si="380"/>
        <v>0</v>
      </c>
      <c r="BP174" s="316">
        <f aca="true" t="shared" si="381" ref="BP174:BP181">BQ174+BR174+BS174+BT174</f>
        <v>2.757999999999811</v>
      </c>
      <c r="BQ174" s="317">
        <f aca="true" t="shared" si="382" ref="BQ174:BT181">AM174-AW174</f>
        <v>0</v>
      </c>
      <c r="BR174" s="317">
        <f t="shared" si="382"/>
        <v>2.757999999999811</v>
      </c>
      <c r="BS174" s="317">
        <f t="shared" si="382"/>
        <v>0</v>
      </c>
      <c r="BT174" s="317">
        <f t="shared" si="382"/>
        <v>0</v>
      </c>
      <c r="BU174" s="229">
        <v>1</v>
      </c>
      <c r="BV174" s="305"/>
      <c r="BW174" s="331" t="s">
        <v>235</v>
      </c>
      <c r="BY174" s="232">
        <v>2.8</v>
      </c>
      <c r="BZ174" s="232">
        <v>1</v>
      </c>
      <c r="CA174" s="317"/>
      <c r="CB174" s="232"/>
      <c r="CC174" s="232"/>
    </row>
    <row r="175" spans="1:81" s="229" customFormat="1" ht="15" customHeight="1">
      <c r="A175" s="230">
        <v>138</v>
      </c>
      <c r="B175" s="239" t="s">
        <v>191</v>
      </c>
      <c r="C175" s="232">
        <f t="shared" si="362"/>
        <v>3071.511</v>
      </c>
      <c r="D175" s="233"/>
      <c r="E175" s="232">
        <f t="shared" si="363"/>
        <v>3071.511</v>
      </c>
      <c r="F175" s="233"/>
      <c r="G175" s="232"/>
      <c r="H175" s="232">
        <f t="shared" si="364"/>
        <v>4215.79245</v>
      </c>
      <c r="I175" s="233"/>
      <c r="J175" s="232">
        <f t="shared" si="365"/>
        <v>3071.511</v>
      </c>
      <c r="K175" s="232">
        <f t="shared" si="366"/>
        <v>1144.28145</v>
      </c>
      <c r="L175" s="240"/>
      <c r="M175" s="232">
        <f t="shared" si="300"/>
        <v>3071.511</v>
      </c>
      <c r="N175" s="232"/>
      <c r="O175" s="232">
        <v>3071.511</v>
      </c>
      <c r="P175" s="232"/>
      <c r="Q175" s="232"/>
      <c r="R175" s="234">
        <f t="shared" si="367"/>
        <v>3071.511</v>
      </c>
      <c r="S175" s="232"/>
      <c r="T175" s="232">
        <f>1644.627+1426.884</f>
        <v>3071.511</v>
      </c>
      <c r="U175" s="232"/>
      <c r="V175" s="235"/>
      <c r="W175" s="232">
        <f t="shared" si="368"/>
        <v>0</v>
      </c>
      <c r="X175" s="232">
        <f t="shared" si="369"/>
        <v>0</v>
      </c>
      <c r="Y175" s="232">
        <f t="shared" si="369"/>
        <v>0</v>
      </c>
      <c r="Z175" s="232">
        <f t="shared" si="369"/>
        <v>0</v>
      </c>
      <c r="AA175" s="232">
        <f t="shared" si="369"/>
        <v>0</v>
      </c>
      <c r="AB175" s="232">
        <f t="shared" si="370"/>
        <v>3071.511</v>
      </c>
      <c r="AC175" s="232"/>
      <c r="AD175" s="232">
        <f t="shared" si="371"/>
        <v>3071.511</v>
      </c>
      <c r="AE175" s="232">
        <f t="shared" si="371"/>
        <v>0</v>
      </c>
      <c r="AF175" s="232">
        <f t="shared" si="371"/>
        <v>0</v>
      </c>
      <c r="AG175" s="232">
        <f t="shared" si="372"/>
        <v>0</v>
      </c>
      <c r="AH175" s="232"/>
      <c r="AI175" s="232"/>
      <c r="AJ175" s="232"/>
      <c r="AK175" s="236"/>
      <c r="AL175" s="234">
        <f t="shared" si="373"/>
        <v>3071.511</v>
      </c>
      <c r="AM175" s="232"/>
      <c r="AN175" s="232">
        <f t="shared" si="374"/>
        <v>3071.511</v>
      </c>
      <c r="AO175" s="232"/>
      <c r="AP175" s="235"/>
      <c r="AQ175" s="232">
        <f t="shared" si="375"/>
        <v>3071.511</v>
      </c>
      <c r="AR175" s="232"/>
      <c r="AS175" s="232">
        <f>1533.78475+1537.72625</f>
        <v>3071.511</v>
      </c>
      <c r="AT175" s="232"/>
      <c r="AU175" s="232"/>
      <c r="AV175" s="232">
        <f t="shared" si="376"/>
        <v>3071.511</v>
      </c>
      <c r="AW175" s="232"/>
      <c r="AX175" s="232">
        <f>1533.78475+1537.72625</f>
        <v>3071.511</v>
      </c>
      <c r="AY175" s="232"/>
      <c r="AZ175" s="232"/>
      <c r="BA175" s="232">
        <f t="shared" si="377"/>
        <v>1144.28145</v>
      </c>
      <c r="BB175" s="232"/>
      <c r="BC175" s="232">
        <v>1144.28145</v>
      </c>
      <c r="BD175" s="232"/>
      <c r="BE175" s="232"/>
      <c r="BF175" s="232">
        <f t="shared" si="378"/>
        <v>1144.28145</v>
      </c>
      <c r="BG175" s="232"/>
      <c r="BH175" s="232">
        <v>1144.28145</v>
      </c>
      <c r="BI175" s="232"/>
      <c r="BJ175" s="232"/>
      <c r="BK175" s="232">
        <f t="shared" si="379"/>
        <v>4215.79245</v>
      </c>
      <c r="BL175" s="232">
        <f t="shared" si="380"/>
        <v>0</v>
      </c>
      <c r="BM175" s="232">
        <f t="shared" si="380"/>
        <v>4215.79245</v>
      </c>
      <c r="BN175" s="232">
        <f t="shared" si="380"/>
        <v>0</v>
      </c>
      <c r="BO175" s="232">
        <f t="shared" si="380"/>
        <v>0</v>
      </c>
      <c r="BP175" s="316">
        <f t="shared" si="381"/>
        <v>0</v>
      </c>
      <c r="BQ175" s="317">
        <f t="shared" si="382"/>
        <v>0</v>
      </c>
      <c r="BR175" s="317">
        <f t="shared" si="382"/>
        <v>0</v>
      </c>
      <c r="BS175" s="317">
        <f t="shared" si="382"/>
        <v>0</v>
      </c>
      <c r="BT175" s="317">
        <f t="shared" si="382"/>
        <v>0</v>
      </c>
      <c r="BU175" s="229">
        <v>1</v>
      </c>
      <c r="BV175" s="305"/>
      <c r="BW175" s="331" t="s">
        <v>228</v>
      </c>
      <c r="BY175" s="232"/>
      <c r="BZ175" s="232">
        <v>1</v>
      </c>
      <c r="CA175" s="317"/>
      <c r="CB175" s="232"/>
      <c r="CC175" s="232"/>
    </row>
    <row r="176" spans="1:81" s="229" customFormat="1" ht="15" customHeight="1">
      <c r="A176" s="230">
        <v>139</v>
      </c>
      <c r="B176" s="239" t="s">
        <v>192</v>
      </c>
      <c r="C176" s="232">
        <f t="shared" si="362"/>
        <v>808.163</v>
      </c>
      <c r="D176" s="233"/>
      <c r="E176" s="232">
        <f t="shared" si="363"/>
        <v>808.163</v>
      </c>
      <c r="F176" s="233"/>
      <c r="G176" s="232"/>
      <c r="H176" s="232">
        <f t="shared" si="364"/>
        <v>850.763</v>
      </c>
      <c r="I176" s="233"/>
      <c r="J176" s="232">
        <f t="shared" si="365"/>
        <v>808.163</v>
      </c>
      <c r="K176" s="232">
        <f t="shared" si="366"/>
        <v>42.6</v>
      </c>
      <c r="L176" s="240"/>
      <c r="M176" s="232">
        <f t="shared" si="300"/>
        <v>808.163</v>
      </c>
      <c r="N176" s="232"/>
      <c r="O176" s="232"/>
      <c r="P176" s="232"/>
      <c r="Q176" s="232">
        <f>810.249-2.086</f>
        <v>808.163</v>
      </c>
      <c r="R176" s="234">
        <f t="shared" si="367"/>
        <v>808.163</v>
      </c>
      <c r="S176" s="232"/>
      <c r="T176" s="232"/>
      <c r="U176" s="232"/>
      <c r="V176" s="235">
        <v>808.163</v>
      </c>
      <c r="W176" s="232">
        <f t="shared" si="368"/>
        <v>0</v>
      </c>
      <c r="X176" s="232">
        <f t="shared" si="369"/>
        <v>0</v>
      </c>
      <c r="Y176" s="232">
        <f t="shared" si="369"/>
        <v>0</v>
      </c>
      <c r="Z176" s="232">
        <f t="shared" si="369"/>
        <v>0</v>
      </c>
      <c r="AA176" s="232">
        <f t="shared" si="369"/>
        <v>0</v>
      </c>
      <c r="AB176" s="232">
        <f t="shared" si="370"/>
        <v>808.163</v>
      </c>
      <c r="AC176" s="232"/>
      <c r="AD176" s="232">
        <f t="shared" si="371"/>
        <v>0</v>
      </c>
      <c r="AE176" s="232">
        <f t="shared" si="371"/>
        <v>0</v>
      </c>
      <c r="AF176" s="232">
        <f t="shared" si="371"/>
        <v>808.163</v>
      </c>
      <c r="AG176" s="232">
        <f t="shared" si="372"/>
        <v>0</v>
      </c>
      <c r="AH176" s="232"/>
      <c r="AI176" s="232"/>
      <c r="AJ176" s="232"/>
      <c r="AK176" s="236"/>
      <c r="AL176" s="234">
        <f t="shared" si="373"/>
        <v>808.163</v>
      </c>
      <c r="AM176" s="232"/>
      <c r="AN176" s="232"/>
      <c r="AO176" s="232"/>
      <c r="AP176" s="235">
        <f aca="true" t="shared" si="383" ref="AP176:AP181">AF176</f>
        <v>808.163</v>
      </c>
      <c r="AQ176" s="232">
        <f t="shared" si="375"/>
        <v>808.163</v>
      </c>
      <c r="AR176" s="232"/>
      <c r="AS176" s="232"/>
      <c r="AT176" s="232"/>
      <c r="AU176" s="232">
        <v>808.163</v>
      </c>
      <c r="AV176" s="232">
        <f t="shared" si="376"/>
        <v>808.163</v>
      </c>
      <c r="AW176" s="232"/>
      <c r="AX176" s="232"/>
      <c r="AY176" s="232"/>
      <c r="AZ176" s="232">
        <v>808.163</v>
      </c>
      <c r="BA176" s="232">
        <f t="shared" si="377"/>
        <v>42.6</v>
      </c>
      <c r="BB176" s="232"/>
      <c r="BC176" s="232"/>
      <c r="BD176" s="232"/>
      <c r="BE176" s="232">
        <v>42.6</v>
      </c>
      <c r="BF176" s="232">
        <f t="shared" si="378"/>
        <v>42.6</v>
      </c>
      <c r="BG176" s="232"/>
      <c r="BH176" s="232"/>
      <c r="BI176" s="232"/>
      <c r="BJ176" s="232">
        <v>42.6</v>
      </c>
      <c r="BK176" s="232">
        <f t="shared" si="379"/>
        <v>850.763</v>
      </c>
      <c r="BL176" s="232">
        <f t="shared" si="380"/>
        <v>0</v>
      </c>
      <c r="BM176" s="232">
        <f t="shared" si="380"/>
        <v>0</v>
      </c>
      <c r="BN176" s="232">
        <f t="shared" si="380"/>
        <v>0</v>
      </c>
      <c r="BO176" s="232">
        <f t="shared" si="380"/>
        <v>850.763</v>
      </c>
      <c r="BP176" s="316">
        <f t="shared" si="381"/>
        <v>0</v>
      </c>
      <c r="BQ176" s="317">
        <f t="shared" si="382"/>
        <v>0</v>
      </c>
      <c r="BR176" s="317">
        <f t="shared" si="382"/>
        <v>0</v>
      </c>
      <c r="BS176" s="317">
        <f t="shared" si="382"/>
        <v>0</v>
      </c>
      <c r="BT176" s="317">
        <f t="shared" si="382"/>
        <v>0</v>
      </c>
      <c r="BU176" s="229">
        <v>1</v>
      </c>
      <c r="BV176" s="305"/>
      <c r="BW176" s="331" t="s">
        <v>228</v>
      </c>
      <c r="BY176" s="232"/>
      <c r="BZ176" s="232">
        <v>1</v>
      </c>
      <c r="CA176" s="317"/>
      <c r="CB176" s="232"/>
      <c r="CC176" s="232"/>
    </row>
    <row r="177" spans="1:81" s="229" customFormat="1" ht="15" customHeight="1">
      <c r="A177" s="230">
        <v>140</v>
      </c>
      <c r="B177" s="239" t="s">
        <v>193</v>
      </c>
      <c r="C177" s="232">
        <f t="shared" si="362"/>
        <v>1428.227</v>
      </c>
      <c r="D177" s="233"/>
      <c r="E177" s="232">
        <f t="shared" si="363"/>
        <v>1428.227</v>
      </c>
      <c r="F177" s="233"/>
      <c r="G177" s="232"/>
      <c r="H177" s="232">
        <f t="shared" si="364"/>
        <v>1683.4936200000002</v>
      </c>
      <c r="I177" s="233"/>
      <c r="J177" s="232">
        <f t="shared" si="365"/>
        <v>1428.227</v>
      </c>
      <c r="K177" s="232">
        <f t="shared" si="366"/>
        <v>255.26662</v>
      </c>
      <c r="L177" s="240"/>
      <c r="M177" s="232">
        <f t="shared" si="300"/>
        <v>1428.227</v>
      </c>
      <c r="N177" s="232"/>
      <c r="O177" s="232">
        <v>966.138</v>
      </c>
      <c r="P177" s="232"/>
      <c r="Q177" s="232">
        <v>462.089</v>
      </c>
      <c r="R177" s="234">
        <f t="shared" si="367"/>
        <v>1428.227</v>
      </c>
      <c r="S177" s="232"/>
      <c r="T177" s="232">
        <v>966.138</v>
      </c>
      <c r="U177" s="232"/>
      <c r="V177" s="235">
        <v>462.089</v>
      </c>
      <c r="W177" s="232">
        <f t="shared" si="368"/>
        <v>0</v>
      </c>
      <c r="X177" s="232">
        <f t="shared" si="369"/>
        <v>0</v>
      </c>
      <c r="Y177" s="232">
        <f t="shared" si="369"/>
        <v>0</v>
      </c>
      <c r="Z177" s="232">
        <f t="shared" si="369"/>
        <v>0</v>
      </c>
      <c r="AA177" s="232">
        <f t="shared" si="369"/>
        <v>0</v>
      </c>
      <c r="AB177" s="232">
        <f t="shared" si="370"/>
        <v>1428.227</v>
      </c>
      <c r="AC177" s="232"/>
      <c r="AD177" s="232">
        <f t="shared" si="371"/>
        <v>966.138</v>
      </c>
      <c r="AE177" s="232">
        <f t="shared" si="371"/>
        <v>0</v>
      </c>
      <c r="AF177" s="232">
        <f t="shared" si="371"/>
        <v>462.089</v>
      </c>
      <c r="AG177" s="232">
        <f t="shared" si="372"/>
        <v>0</v>
      </c>
      <c r="AH177" s="232"/>
      <c r="AI177" s="232"/>
      <c r="AJ177" s="232"/>
      <c r="AK177" s="236"/>
      <c r="AL177" s="234">
        <f t="shared" si="373"/>
        <v>1428.227</v>
      </c>
      <c r="AM177" s="232"/>
      <c r="AN177" s="232">
        <f t="shared" si="374"/>
        <v>966.138</v>
      </c>
      <c r="AO177" s="232"/>
      <c r="AP177" s="235">
        <f t="shared" si="383"/>
        <v>462.089</v>
      </c>
      <c r="AQ177" s="232">
        <f t="shared" si="375"/>
        <v>1428.227</v>
      </c>
      <c r="AR177" s="232"/>
      <c r="AS177" s="232">
        <v>966.138</v>
      </c>
      <c r="AT177" s="232"/>
      <c r="AU177" s="232">
        <v>462.089</v>
      </c>
      <c r="AV177" s="232">
        <f t="shared" si="376"/>
        <v>1428.227</v>
      </c>
      <c r="AW177" s="232"/>
      <c r="AX177" s="232">
        <v>966.138</v>
      </c>
      <c r="AY177" s="232"/>
      <c r="AZ177" s="232">
        <v>462.089</v>
      </c>
      <c r="BA177" s="232">
        <f t="shared" si="377"/>
        <v>255.26662</v>
      </c>
      <c r="BB177" s="232"/>
      <c r="BC177" s="232">
        <v>167.60008</v>
      </c>
      <c r="BD177" s="232"/>
      <c r="BE177" s="232">
        <v>87.66654</v>
      </c>
      <c r="BF177" s="232">
        <f t="shared" si="378"/>
        <v>255.26662</v>
      </c>
      <c r="BG177" s="232"/>
      <c r="BH177" s="232">
        <v>167.60008</v>
      </c>
      <c r="BI177" s="232"/>
      <c r="BJ177" s="232">
        <v>87.66654</v>
      </c>
      <c r="BK177" s="232">
        <f t="shared" si="379"/>
        <v>1683.4936200000002</v>
      </c>
      <c r="BL177" s="232">
        <f t="shared" si="380"/>
        <v>0</v>
      </c>
      <c r="BM177" s="232">
        <f t="shared" si="380"/>
        <v>1133.73808</v>
      </c>
      <c r="BN177" s="232">
        <f t="shared" si="380"/>
        <v>0</v>
      </c>
      <c r="BO177" s="232">
        <f t="shared" si="380"/>
        <v>549.75554</v>
      </c>
      <c r="BP177" s="316">
        <f t="shared" si="381"/>
        <v>0</v>
      </c>
      <c r="BQ177" s="317">
        <f t="shared" si="382"/>
        <v>0</v>
      </c>
      <c r="BR177" s="317">
        <f t="shared" si="382"/>
        <v>0</v>
      </c>
      <c r="BS177" s="317">
        <f t="shared" si="382"/>
        <v>0</v>
      </c>
      <c r="BT177" s="317">
        <f t="shared" si="382"/>
        <v>0</v>
      </c>
      <c r="BU177" s="229">
        <v>1</v>
      </c>
      <c r="BV177" s="305"/>
      <c r="BW177" s="331" t="s">
        <v>228</v>
      </c>
      <c r="BY177" s="232"/>
      <c r="BZ177" s="232">
        <v>1</v>
      </c>
      <c r="CA177" s="317"/>
      <c r="CB177" s="232"/>
      <c r="CC177" s="232"/>
    </row>
    <row r="178" spans="1:81" s="229" customFormat="1" ht="15" customHeight="1">
      <c r="A178" s="230">
        <v>141</v>
      </c>
      <c r="B178" s="239" t="s">
        <v>194</v>
      </c>
      <c r="C178" s="232">
        <f t="shared" si="362"/>
        <v>275.784</v>
      </c>
      <c r="D178" s="233"/>
      <c r="E178" s="232">
        <f t="shared" si="363"/>
        <v>275.784</v>
      </c>
      <c r="F178" s="233"/>
      <c r="G178" s="232"/>
      <c r="H178" s="232">
        <f t="shared" si="364"/>
        <v>398.831</v>
      </c>
      <c r="I178" s="233"/>
      <c r="J178" s="232">
        <f t="shared" si="365"/>
        <v>275.784</v>
      </c>
      <c r="K178" s="232">
        <f t="shared" si="366"/>
        <v>123.047</v>
      </c>
      <c r="L178" s="240"/>
      <c r="M178" s="232">
        <f t="shared" si="300"/>
        <v>275.784</v>
      </c>
      <c r="N178" s="232"/>
      <c r="O178" s="232">
        <v>275.784</v>
      </c>
      <c r="P178" s="232"/>
      <c r="Q178" s="232"/>
      <c r="R178" s="234">
        <f t="shared" si="367"/>
        <v>275.784</v>
      </c>
      <c r="S178" s="232"/>
      <c r="T178" s="232">
        <v>275.784</v>
      </c>
      <c r="U178" s="232"/>
      <c r="V178" s="235"/>
      <c r="W178" s="232">
        <f t="shared" si="368"/>
        <v>0</v>
      </c>
      <c r="X178" s="232">
        <f t="shared" si="369"/>
        <v>0</v>
      </c>
      <c r="Y178" s="232">
        <f t="shared" si="369"/>
        <v>0</v>
      </c>
      <c r="Z178" s="232">
        <f t="shared" si="369"/>
        <v>0</v>
      </c>
      <c r="AA178" s="232">
        <f t="shared" si="369"/>
        <v>0</v>
      </c>
      <c r="AB178" s="232">
        <f t="shared" si="370"/>
        <v>275.784</v>
      </c>
      <c r="AC178" s="232"/>
      <c r="AD178" s="232">
        <f t="shared" si="371"/>
        <v>275.784</v>
      </c>
      <c r="AE178" s="232">
        <f t="shared" si="371"/>
        <v>0</v>
      </c>
      <c r="AF178" s="232">
        <f t="shared" si="371"/>
        <v>0</v>
      </c>
      <c r="AG178" s="232">
        <f t="shared" si="372"/>
        <v>0</v>
      </c>
      <c r="AH178" s="232"/>
      <c r="AI178" s="232"/>
      <c r="AJ178" s="232"/>
      <c r="AK178" s="236"/>
      <c r="AL178" s="234">
        <f t="shared" si="373"/>
        <v>275.784</v>
      </c>
      <c r="AM178" s="232"/>
      <c r="AN178" s="232">
        <f t="shared" si="374"/>
        <v>275.784</v>
      </c>
      <c r="AO178" s="232"/>
      <c r="AP178" s="235"/>
      <c r="AQ178" s="232">
        <f t="shared" si="375"/>
        <v>275.784</v>
      </c>
      <c r="AR178" s="232"/>
      <c r="AS178" s="232">
        <v>275.784</v>
      </c>
      <c r="AT178" s="232"/>
      <c r="AU178" s="232"/>
      <c r="AV178" s="232">
        <f t="shared" si="376"/>
        <v>275.784</v>
      </c>
      <c r="AW178" s="232"/>
      <c r="AX178" s="232">
        <v>275.784</v>
      </c>
      <c r="AY178" s="232"/>
      <c r="AZ178" s="232"/>
      <c r="BA178" s="232">
        <f t="shared" si="377"/>
        <v>123.047</v>
      </c>
      <c r="BB178" s="232"/>
      <c r="BC178" s="232">
        <v>123.047</v>
      </c>
      <c r="BD178" s="232"/>
      <c r="BE178" s="232"/>
      <c r="BF178" s="232">
        <f t="shared" si="378"/>
        <v>123.047</v>
      </c>
      <c r="BG178" s="232"/>
      <c r="BH178" s="232">
        <v>123.047</v>
      </c>
      <c r="BI178" s="232"/>
      <c r="BJ178" s="232"/>
      <c r="BK178" s="232">
        <f t="shared" si="379"/>
        <v>398.831</v>
      </c>
      <c r="BL178" s="232">
        <f t="shared" si="380"/>
        <v>0</v>
      </c>
      <c r="BM178" s="232">
        <f t="shared" si="380"/>
        <v>398.831</v>
      </c>
      <c r="BN178" s="232">
        <f t="shared" si="380"/>
        <v>0</v>
      </c>
      <c r="BO178" s="232">
        <f t="shared" si="380"/>
        <v>0</v>
      </c>
      <c r="BP178" s="316">
        <f t="shared" si="381"/>
        <v>0</v>
      </c>
      <c r="BQ178" s="317">
        <f t="shared" si="382"/>
        <v>0</v>
      </c>
      <c r="BR178" s="317">
        <f t="shared" si="382"/>
        <v>0</v>
      </c>
      <c r="BS178" s="317">
        <f t="shared" si="382"/>
        <v>0</v>
      </c>
      <c r="BT178" s="317">
        <f t="shared" si="382"/>
        <v>0</v>
      </c>
      <c r="BU178" s="229">
        <v>1</v>
      </c>
      <c r="BV178" s="305"/>
      <c r="BW178" s="331" t="s">
        <v>228</v>
      </c>
      <c r="BY178" s="232"/>
      <c r="BZ178" s="232">
        <v>1</v>
      </c>
      <c r="CA178" s="317"/>
      <c r="CB178" s="232"/>
      <c r="CC178" s="232"/>
    </row>
    <row r="179" spans="1:81" s="229" customFormat="1" ht="15" customHeight="1">
      <c r="A179" s="230">
        <v>142</v>
      </c>
      <c r="B179" s="239" t="s">
        <v>195</v>
      </c>
      <c r="C179" s="232">
        <f t="shared" si="362"/>
        <v>64628.344</v>
      </c>
      <c r="D179" s="233"/>
      <c r="E179" s="232">
        <f t="shared" si="363"/>
        <v>64628.344</v>
      </c>
      <c r="F179" s="233"/>
      <c r="G179" s="232"/>
      <c r="H179" s="232">
        <f t="shared" si="364"/>
        <v>68262.60939</v>
      </c>
      <c r="I179" s="233"/>
      <c r="J179" s="232">
        <f t="shared" si="365"/>
        <v>64335.740399999995</v>
      </c>
      <c r="K179" s="232">
        <f t="shared" si="366"/>
        <v>3926.8689900000004</v>
      </c>
      <c r="L179" s="240"/>
      <c r="M179" s="232">
        <f t="shared" si="300"/>
        <v>64628.344</v>
      </c>
      <c r="N179" s="232"/>
      <c r="O179" s="232">
        <v>3851.812</v>
      </c>
      <c r="P179" s="232">
        <v>58520.72</v>
      </c>
      <c r="Q179" s="232">
        <v>2255.812</v>
      </c>
      <c r="R179" s="234">
        <f t="shared" si="367"/>
        <v>64335.740399999995</v>
      </c>
      <c r="S179" s="232"/>
      <c r="T179" s="232">
        <v>3851.812</v>
      </c>
      <c r="U179" s="232">
        <f>37684.884+20543.2324</f>
        <v>58228.1164</v>
      </c>
      <c r="V179" s="235">
        <v>2255.812</v>
      </c>
      <c r="W179" s="232">
        <f t="shared" si="368"/>
        <v>292.6036000000022</v>
      </c>
      <c r="X179" s="232">
        <f t="shared" si="369"/>
        <v>0</v>
      </c>
      <c r="Y179" s="232">
        <f t="shared" si="369"/>
        <v>0</v>
      </c>
      <c r="Z179" s="232">
        <f t="shared" si="369"/>
        <v>292.6036000000022</v>
      </c>
      <c r="AA179" s="232">
        <f t="shared" si="369"/>
        <v>0</v>
      </c>
      <c r="AB179" s="232">
        <f t="shared" si="370"/>
        <v>64335.740399999995</v>
      </c>
      <c r="AC179" s="232"/>
      <c r="AD179" s="232">
        <f t="shared" si="371"/>
        <v>3851.812</v>
      </c>
      <c r="AE179" s="232">
        <f t="shared" si="371"/>
        <v>58228.1164</v>
      </c>
      <c r="AF179" s="232">
        <f t="shared" si="371"/>
        <v>2255.812</v>
      </c>
      <c r="AG179" s="232">
        <f t="shared" si="372"/>
        <v>0</v>
      </c>
      <c r="AH179" s="232"/>
      <c r="AI179" s="232"/>
      <c r="AJ179" s="232"/>
      <c r="AK179" s="236"/>
      <c r="AL179" s="234">
        <f t="shared" si="373"/>
        <v>64335.740399999995</v>
      </c>
      <c r="AM179" s="232"/>
      <c r="AN179" s="232">
        <f t="shared" si="374"/>
        <v>3851.812</v>
      </c>
      <c r="AO179" s="232">
        <f>AE179</f>
        <v>58228.1164</v>
      </c>
      <c r="AP179" s="235">
        <f t="shared" si="383"/>
        <v>2255.812</v>
      </c>
      <c r="AQ179" s="232">
        <f t="shared" si="375"/>
        <v>64335.74039999999</v>
      </c>
      <c r="AR179" s="232"/>
      <c r="AS179" s="232">
        <f>808.87373+3042.93827</f>
        <v>3851.812</v>
      </c>
      <c r="AT179" s="232">
        <f>37684.884+10636.96012+9906.27228</f>
        <v>58228.11639999999</v>
      </c>
      <c r="AU179" s="232">
        <f>1441.177+555.338+259.297</f>
        <v>2255.812</v>
      </c>
      <c r="AV179" s="232">
        <f t="shared" si="376"/>
        <v>64335.74039999999</v>
      </c>
      <c r="AW179" s="232"/>
      <c r="AX179" s="232">
        <f>808.87373+3042.93827</f>
        <v>3851.812</v>
      </c>
      <c r="AY179" s="232">
        <f>37684.884+10636.96012+9906.27228</f>
        <v>58228.11639999999</v>
      </c>
      <c r="AZ179" s="232">
        <f>1441.177+555.338+259.297</f>
        <v>2255.812</v>
      </c>
      <c r="BA179" s="232">
        <f t="shared" si="377"/>
        <v>3926.8689900000004</v>
      </c>
      <c r="BB179" s="232"/>
      <c r="BC179" s="232">
        <v>334.20092</v>
      </c>
      <c r="BD179" s="232">
        <v>3068.90254</v>
      </c>
      <c r="BE179" s="232">
        <v>523.76553</v>
      </c>
      <c r="BF179" s="232">
        <f t="shared" si="378"/>
        <v>3926.8689900000004</v>
      </c>
      <c r="BG179" s="232"/>
      <c r="BH179" s="232">
        <v>334.20092</v>
      </c>
      <c r="BI179" s="232">
        <v>3068.90254</v>
      </c>
      <c r="BJ179" s="232">
        <v>523.76553</v>
      </c>
      <c r="BK179" s="232">
        <f t="shared" si="379"/>
        <v>68262.60939</v>
      </c>
      <c r="BL179" s="232">
        <f t="shared" si="380"/>
        <v>0</v>
      </c>
      <c r="BM179" s="232">
        <f t="shared" si="380"/>
        <v>4186.01292</v>
      </c>
      <c r="BN179" s="232">
        <f t="shared" si="380"/>
        <v>61297.018939999994</v>
      </c>
      <c r="BO179" s="232">
        <f t="shared" si="380"/>
        <v>2779.57753</v>
      </c>
      <c r="BP179" s="316">
        <f t="shared" si="381"/>
        <v>0</v>
      </c>
      <c r="BQ179" s="317">
        <f t="shared" si="382"/>
        <v>0</v>
      </c>
      <c r="BR179" s="317">
        <f t="shared" si="382"/>
        <v>0</v>
      </c>
      <c r="BS179" s="317">
        <f t="shared" si="382"/>
        <v>0</v>
      </c>
      <c r="BT179" s="317">
        <f t="shared" si="382"/>
        <v>0</v>
      </c>
      <c r="BU179" s="229">
        <v>1</v>
      </c>
      <c r="BV179" s="305"/>
      <c r="BW179" s="331" t="s">
        <v>228</v>
      </c>
      <c r="BY179" s="232"/>
      <c r="BZ179" s="232">
        <v>1</v>
      </c>
      <c r="CA179" s="317"/>
      <c r="CB179" s="232"/>
      <c r="CC179" s="232"/>
    </row>
    <row r="180" spans="1:81" s="229" customFormat="1" ht="15" customHeight="1">
      <c r="A180" s="230">
        <v>143</v>
      </c>
      <c r="B180" s="231" t="s">
        <v>196</v>
      </c>
      <c r="C180" s="232">
        <f t="shared" si="362"/>
        <v>2853.59</v>
      </c>
      <c r="D180" s="233"/>
      <c r="E180" s="232">
        <f t="shared" si="363"/>
        <v>2853.59</v>
      </c>
      <c r="F180" s="233"/>
      <c r="G180" s="232"/>
      <c r="H180" s="232">
        <f t="shared" si="364"/>
        <v>3003.911</v>
      </c>
      <c r="I180" s="233"/>
      <c r="J180" s="232">
        <f t="shared" si="365"/>
        <v>2853.59</v>
      </c>
      <c r="K180" s="232">
        <f t="shared" si="366"/>
        <v>150.321</v>
      </c>
      <c r="L180" s="233"/>
      <c r="M180" s="232">
        <f t="shared" si="300"/>
        <v>2853.59</v>
      </c>
      <c r="N180" s="232"/>
      <c r="O180" s="232">
        <v>1527.982</v>
      </c>
      <c r="P180" s="232"/>
      <c r="Q180" s="232">
        <f>1325.683-0.075</f>
        <v>1325.608</v>
      </c>
      <c r="R180" s="234">
        <f t="shared" si="367"/>
        <v>2853.59</v>
      </c>
      <c r="S180" s="232"/>
      <c r="T180" s="232">
        <v>1527.982</v>
      </c>
      <c r="U180" s="232"/>
      <c r="V180" s="235">
        <v>1325.608</v>
      </c>
      <c r="W180" s="232">
        <f t="shared" si="368"/>
        <v>0</v>
      </c>
      <c r="X180" s="232">
        <f t="shared" si="369"/>
        <v>0</v>
      </c>
      <c r="Y180" s="232">
        <f t="shared" si="369"/>
        <v>0</v>
      </c>
      <c r="Z180" s="232">
        <f t="shared" si="369"/>
        <v>0</v>
      </c>
      <c r="AA180" s="232">
        <f t="shared" si="369"/>
        <v>0</v>
      </c>
      <c r="AB180" s="232">
        <f t="shared" si="370"/>
        <v>2853.59</v>
      </c>
      <c r="AC180" s="232"/>
      <c r="AD180" s="232">
        <f t="shared" si="371"/>
        <v>1527.982</v>
      </c>
      <c r="AE180" s="232">
        <f t="shared" si="371"/>
        <v>0</v>
      </c>
      <c r="AF180" s="232">
        <f t="shared" si="371"/>
        <v>1325.608</v>
      </c>
      <c r="AG180" s="232">
        <f t="shared" si="372"/>
        <v>0</v>
      </c>
      <c r="AH180" s="232"/>
      <c r="AI180" s="232"/>
      <c r="AJ180" s="232"/>
      <c r="AK180" s="236"/>
      <c r="AL180" s="234">
        <f t="shared" si="373"/>
        <v>2853.59</v>
      </c>
      <c r="AM180" s="232"/>
      <c r="AN180" s="232">
        <f t="shared" si="374"/>
        <v>1527.982</v>
      </c>
      <c r="AO180" s="232"/>
      <c r="AP180" s="235">
        <f t="shared" si="383"/>
        <v>1325.608</v>
      </c>
      <c r="AQ180" s="232">
        <f t="shared" si="375"/>
        <v>2853.59</v>
      </c>
      <c r="AR180" s="232"/>
      <c r="AS180" s="232">
        <f>534.95365+466.9725+258.0922+267.96365</f>
        <v>1527.982</v>
      </c>
      <c r="AT180" s="232"/>
      <c r="AU180" s="232">
        <v>1325.608</v>
      </c>
      <c r="AV180" s="232">
        <f t="shared" si="376"/>
        <v>2853.59</v>
      </c>
      <c r="AW180" s="232"/>
      <c r="AX180" s="232">
        <f>534.95365+466.9725+258.0922+267.96365</f>
        <v>1527.982</v>
      </c>
      <c r="AY180" s="232"/>
      <c r="AZ180" s="232">
        <v>1325.608</v>
      </c>
      <c r="BA180" s="232">
        <f t="shared" si="377"/>
        <v>150.321</v>
      </c>
      <c r="BB180" s="232"/>
      <c r="BC180" s="232">
        <f>27.68715+28.28635+24.5775</f>
        <v>80.551</v>
      </c>
      <c r="BD180" s="232"/>
      <c r="BE180" s="232">
        <v>69.77</v>
      </c>
      <c r="BF180" s="232">
        <f t="shared" si="378"/>
        <v>150.321</v>
      </c>
      <c r="BG180" s="232"/>
      <c r="BH180" s="232">
        <f>27.68715+28.28635+24.5775</f>
        <v>80.551</v>
      </c>
      <c r="BI180" s="232"/>
      <c r="BJ180" s="232">
        <v>69.77</v>
      </c>
      <c r="BK180" s="232">
        <f t="shared" si="379"/>
        <v>3003.911</v>
      </c>
      <c r="BL180" s="232">
        <f t="shared" si="380"/>
        <v>0</v>
      </c>
      <c r="BM180" s="232">
        <f t="shared" si="380"/>
        <v>1608.533</v>
      </c>
      <c r="BN180" s="232">
        <f t="shared" si="380"/>
        <v>0</v>
      </c>
      <c r="BO180" s="232">
        <f t="shared" si="380"/>
        <v>1395.378</v>
      </c>
      <c r="BP180" s="316">
        <f t="shared" si="381"/>
        <v>0</v>
      </c>
      <c r="BQ180" s="317">
        <f t="shared" si="382"/>
        <v>0</v>
      </c>
      <c r="BR180" s="317">
        <f t="shared" si="382"/>
        <v>0</v>
      </c>
      <c r="BS180" s="317">
        <f t="shared" si="382"/>
        <v>0</v>
      </c>
      <c r="BT180" s="317">
        <f t="shared" si="382"/>
        <v>0</v>
      </c>
      <c r="BU180" s="229">
        <v>1</v>
      </c>
      <c r="BV180" s="305"/>
      <c r="BW180" s="331" t="s">
        <v>228</v>
      </c>
      <c r="BY180" s="232"/>
      <c r="BZ180" s="232">
        <v>1</v>
      </c>
      <c r="CA180" s="317"/>
      <c r="CB180" s="232"/>
      <c r="CC180" s="232"/>
    </row>
    <row r="181" spans="1:81" s="229" customFormat="1" ht="15" customHeight="1">
      <c r="A181" s="230">
        <v>144</v>
      </c>
      <c r="B181" s="231" t="s">
        <v>197</v>
      </c>
      <c r="C181" s="232">
        <f t="shared" si="362"/>
        <v>1349.452</v>
      </c>
      <c r="D181" s="233"/>
      <c r="E181" s="232">
        <f t="shared" si="363"/>
        <v>1349.452</v>
      </c>
      <c r="F181" s="233"/>
      <c r="G181" s="232"/>
      <c r="H181" s="232">
        <f t="shared" si="364"/>
        <v>1799.0639999999999</v>
      </c>
      <c r="I181" s="233"/>
      <c r="J181" s="232">
        <f t="shared" si="365"/>
        <v>1349.452</v>
      </c>
      <c r="K181" s="232">
        <f t="shared" si="366"/>
        <v>449.61199999999997</v>
      </c>
      <c r="L181" s="233"/>
      <c r="M181" s="232">
        <f t="shared" si="300"/>
        <v>1349.452</v>
      </c>
      <c r="N181" s="232"/>
      <c r="O181" s="232">
        <v>722.558</v>
      </c>
      <c r="P181" s="232"/>
      <c r="Q181" s="232">
        <v>626.894</v>
      </c>
      <c r="R181" s="234">
        <f t="shared" si="367"/>
        <v>1349.452</v>
      </c>
      <c r="S181" s="232"/>
      <c r="T181" s="232">
        <v>722.558</v>
      </c>
      <c r="U181" s="232"/>
      <c r="V181" s="235">
        <v>626.894</v>
      </c>
      <c r="W181" s="232">
        <f t="shared" si="368"/>
        <v>0</v>
      </c>
      <c r="X181" s="232">
        <f t="shared" si="369"/>
        <v>0</v>
      </c>
      <c r="Y181" s="232">
        <f t="shared" si="369"/>
        <v>0</v>
      </c>
      <c r="Z181" s="232">
        <f t="shared" si="369"/>
        <v>0</v>
      </c>
      <c r="AA181" s="232">
        <f t="shared" si="369"/>
        <v>0</v>
      </c>
      <c r="AB181" s="232">
        <f t="shared" si="370"/>
        <v>1349.452</v>
      </c>
      <c r="AC181" s="232"/>
      <c r="AD181" s="232">
        <f t="shared" si="371"/>
        <v>722.558</v>
      </c>
      <c r="AE181" s="232">
        <f t="shared" si="371"/>
        <v>0</v>
      </c>
      <c r="AF181" s="232">
        <f t="shared" si="371"/>
        <v>626.894</v>
      </c>
      <c r="AG181" s="232">
        <f t="shared" si="372"/>
        <v>0</v>
      </c>
      <c r="AH181" s="232"/>
      <c r="AI181" s="232"/>
      <c r="AJ181" s="232"/>
      <c r="AK181" s="236"/>
      <c r="AL181" s="234">
        <f t="shared" si="373"/>
        <v>1349.452</v>
      </c>
      <c r="AM181" s="232"/>
      <c r="AN181" s="232">
        <f t="shared" si="374"/>
        <v>722.558</v>
      </c>
      <c r="AO181" s="232"/>
      <c r="AP181" s="235">
        <f t="shared" si="383"/>
        <v>626.894</v>
      </c>
      <c r="AQ181" s="232">
        <f t="shared" si="375"/>
        <v>1349.452</v>
      </c>
      <c r="AR181" s="232"/>
      <c r="AS181" s="232">
        <v>722.558</v>
      </c>
      <c r="AT181" s="232"/>
      <c r="AU181" s="232">
        <v>626.894</v>
      </c>
      <c r="AV181" s="232">
        <f t="shared" si="376"/>
        <v>1349.452</v>
      </c>
      <c r="AW181" s="232"/>
      <c r="AX181" s="232">
        <v>722.558</v>
      </c>
      <c r="AY181" s="232"/>
      <c r="AZ181" s="232">
        <v>626.894</v>
      </c>
      <c r="BA181" s="232">
        <f t="shared" si="377"/>
        <v>449.61199999999997</v>
      </c>
      <c r="BB181" s="232"/>
      <c r="BC181" s="232">
        <v>266.614</v>
      </c>
      <c r="BD181" s="232"/>
      <c r="BE181" s="232">
        <v>182.998</v>
      </c>
      <c r="BF181" s="232">
        <f t="shared" si="378"/>
        <v>449.61199999999997</v>
      </c>
      <c r="BG181" s="232"/>
      <c r="BH181" s="232">
        <v>266.614</v>
      </c>
      <c r="BI181" s="232"/>
      <c r="BJ181" s="232">
        <v>182.998</v>
      </c>
      <c r="BK181" s="232">
        <f t="shared" si="379"/>
        <v>1799.064</v>
      </c>
      <c r="BL181" s="232">
        <f t="shared" si="380"/>
        <v>0</v>
      </c>
      <c r="BM181" s="232">
        <f t="shared" si="380"/>
        <v>989.172</v>
      </c>
      <c r="BN181" s="232">
        <f t="shared" si="380"/>
        <v>0</v>
      </c>
      <c r="BO181" s="232">
        <f t="shared" si="380"/>
        <v>809.892</v>
      </c>
      <c r="BP181" s="316">
        <f t="shared" si="381"/>
        <v>0</v>
      </c>
      <c r="BQ181" s="317">
        <f t="shared" si="382"/>
        <v>0</v>
      </c>
      <c r="BR181" s="317">
        <f t="shared" si="382"/>
        <v>0</v>
      </c>
      <c r="BS181" s="317">
        <f t="shared" si="382"/>
        <v>0</v>
      </c>
      <c r="BT181" s="317">
        <f t="shared" si="382"/>
        <v>0</v>
      </c>
      <c r="BU181" s="229">
        <v>1</v>
      </c>
      <c r="BV181" s="305"/>
      <c r="BW181" s="331" t="s">
        <v>228</v>
      </c>
      <c r="BY181" s="232"/>
      <c r="BZ181" s="232">
        <v>1</v>
      </c>
      <c r="CA181" s="317"/>
      <c r="CB181" s="232"/>
      <c r="CC181" s="232"/>
    </row>
    <row r="182" spans="1:81" s="229" customFormat="1" ht="21.75" customHeight="1">
      <c r="A182" s="238"/>
      <c r="B182" s="301" t="s">
        <v>4</v>
      </c>
      <c r="C182" s="228">
        <f aca="true" t="shared" si="384" ref="C182:K182">SUM(C183:C194)</f>
        <v>30282.958</v>
      </c>
      <c r="D182" s="228">
        <f t="shared" si="384"/>
        <v>0</v>
      </c>
      <c r="E182" s="228">
        <f t="shared" si="384"/>
        <v>30282.958</v>
      </c>
      <c r="F182" s="228">
        <f t="shared" si="384"/>
        <v>0</v>
      </c>
      <c r="G182" s="228">
        <f t="shared" si="384"/>
        <v>0</v>
      </c>
      <c r="H182" s="228">
        <f t="shared" si="384"/>
        <v>35413.87642</v>
      </c>
      <c r="I182" s="228">
        <f t="shared" si="384"/>
        <v>0</v>
      </c>
      <c r="J182" s="228">
        <f t="shared" si="384"/>
        <v>28815.72</v>
      </c>
      <c r="K182" s="228">
        <f t="shared" si="384"/>
        <v>6598.15642</v>
      </c>
      <c r="L182" s="224"/>
      <c r="M182" s="223">
        <f t="shared" si="300"/>
        <v>30282.958000000006</v>
      </c>
      <c r="N182" s="223">
        <f>SUM(N183:N194)</f>
        <v>0</v>
      </c>
      <c r="O182" s="223">
        <f>SUM(O183:O194)</f>
        <v>17552.277000000006</v>
      </c>
      <c r="P182" s="223">
        <f>SUM(P183:P194)</f>
        <v>5409.947</v>
      </c>
      <c r="Q182" s="223">
        <f>SUM(Q183:Q194)</f>
        <v>7320.734</v>
      </c>
      <c r="R182" s="225">
        <f aca="true" t="shared" si="385" ref="R182:AP182">SUM(R183:R194)</f>
        <v>28815.72</v>
      </c>
      <c r="S182" s="223">
        <f t="shared" si="385"/>
        <v>0</v>
      </c>
      <c r="T182" s="223">
        <f t="shared" si="385"/>
        <v>16085.039000000002</v>
      </c>
      <c r="U182" s="223">
        <f t="shared" si="385"/>
        <v>5409.947</v>
      </c>
      <c r="V182" s="226">
        <f t="shared" si="385"/>
        <v>7320.734</v>
      </c>
      <c r="W182" s="223">
        <f t="shared" si="385"/>
        <v>1467.2380000000003</v>
      </c>
      <c r="X182" s="223">
        <f t="shared" si="385"/>
        <v>0</v>
      </c>
      <c r="Y182" s="223">
        <f t="shared" si="385"/>
        <v>1467.2380000000003</v>
      </c>
      <c r="Z182" s="223">
        <f t="shared" si="385"/>
        <v>0</v>
      </c>
      <c r="AA182" s="223">
        <f t="shared" si="385"/>
        <v>0</v>
      </c>
      <c r="AB182" s="223">
        <f t="shared" si="385"/>
        <v>28815.72</v>
      </c>
      <c r="AC182" s="223">
        <f t="shared" si="385"/>
        <v>0</v>
      </c>
      <c r="AD182" s="223">
        <f t="shared" si="385"/>
        <v>16085.039000000002</v>
      </c>
      <c r="AE182" s="223">
        <f t="shared" si="385"/>
        <v>5409.947</v>
      </c>
      <c r="AF182" s="223">
        <f t="shared" si="385"/>
        <v>7320.734</v>
      </c>
      <c r="AG182" s="223">
        <f t="shared" si="385"/>
        <v>1193.494</v>
      </c>
      <c r="AH182" s="223">
        <f t="shared" si="385"/>
        <v>0</v>
      </c>
      <c r="AI182" s="223">
        <f t="shared" si="385"/>
        <v>1193.494</v>
      </c>
      <c r="AJ182" s="223">
        <f t="shared" si="385"/>
        <v>0</v>
      </c>
      <c r="AK182" s="227">
        <f t="shared" si="385"/>
        <v>0</v>
      </c>
      <c r="AL182" s="225">
        <f t="shared" si="385"/>
        <v>28815.72</v>
      </c>
      <c r="AM182" s="223">
        <f t="shared" si="385"/>
        <v>0</v>
      </c>
      <c r="AN182" s="223">
        <f t="shared" si="385"/>
        <v>16085.039000000002</v>
      </c>
      <c r="AO182" s="223">
        <f t="shared" si="385"/>
        <v>5409.947</v>
      </c>
      <c r="AP182" s="226">
        <f t="shared" si="385"/>
        <v>7320.734</v>
      </c>
      <c r="AQ182" s="223">
        <f aca="true" t="shared" si="386" ref="AQ182:BE182">SUM(AQ183:AQ194)</f>
        <v>26295.55</v>
      </c>
      <c r="AR182" s="223">
        <f t="shared" si="386"/>
        <v>0</v>
      </c>
      <c r="AS182" s="223">
        <f t="shared" si="386"/>
        <v>14267.284000000001</v>
      </c>
      <c r="AT182" s="223">
        <f t="shared" si="386"/>
        <v>5409.9</v>
      </c>
      <c r="AU182" s="223">
        <f t="shared" si="386"/>
        <v>6618.366</v>
      </c>
      <c r="AV182" s="223">
        <f t="shared" si="386"/>
        <v>26295.635</v>
      </c>
      <c r="AW182" s="223">
        <f t="shared" si="386"/>
        <v>0</v>
      </c>
      <c r="AX182" s="223">
        <f t="shared" si="386"/>
        <v>14267.322000000002</v>
      </c>
      <c r="AY182" s="223">
        <f t="shared" si="386"/>
        <v>5409.947</v>
      </c>
      <c r="AZ182" s="223">
        <f t="shared" si="386"/>
        <v>6618.366</v>
      </c>
      <c r="BA182" s="223">
        <f t="shared" si="386"/>
        <v>6598.15642</v>
      </c>
      <c r="BB182" s="223">
        <f t="shared" si="386"/>
        <v>0</v>
      </c>
      <c r="BC182" s="223">
        <f t="shared" si="386"/>
        <v>5503.00382</v>
      </c>
      <c r="BD182" s="223">
        <f t="shared" si="386"/>
        <v>412.32263</v>
      </c>
      <c r="BE182" s="223">
        <f t="shared" si="386"/>
        <v>682.82997</v>
      </c>
      <c r="BF182" s="223">
        <f aca="true" t="shared" si="387" ref="BF182:BT182">SUM(BF183:BF194)</f>
        <v>6598.15642</v>
      </c>
      <c r="BG182" s="223">
        <f t="shared" si="387"/>
        <v>0</v>
      </c>
      <c r="BH182" s="223">
        <f t="shared" si="387"/>
        <v>5503.00382</v>
      </c>
      <c r="BI182" s="223">
        <f t="shared" si="387"/>
        <v>412.32263</v>
      </c>
      <c r="BJ182" s="223">
        <f t="shared" si="387"/>
        <v>682.82997</v>
      </c>
      <c r="BK182" s="223">
        <f t="shared" si="387"/>
        <v>32893.791419999994</v>
      </c>
      <c r="BL182" s="223">
        <f t="shared" si="387"/>
        <v>0</v>
      </c>
      <c r="BM182" s="223">
        <f t="shared" si="387"/>
        <v>19770.325820000002</v>
      </c>
      <c r="BN182" s="223">
        <f t="shared" si="387"/>
        <v>5822.26963</v>
      </c>
      <c r="BO182" s="223">
        <f t="shared" si="387"/>
        <v>7301.195969999999</v>
      </c>
      <c r="BP182" s="314">
        <f t="shared" si="387"/>
        <v>2520.085000000001</v>
      </c>
      <c r="BQ182" s="315">
        <f t="shared" si="387"/>
        <v>0</v>
      </c>
      <c r="BR182" s="315">
        <f t="shared" si="387"/>
        <v>1817.7170000000006</v>
      </c>
      <c r="BS182" s="315">
        <f t="shared" si="387"/>
        <v>0</v>
      </c>
      <c r="BT182" s="315">
        <f t="shared" si="387"/>
        <v>702.3680000000004</v>
      </c>
      <c r="BV182" s="305"/>
      <c r="BW182" s="349" t="s">
        <v>294</v>
      </c>
      <c r="BY182" s="223">
        <f>SUM(BY183:BY194)</f>
        <v>1569.3000000000002</v>
      </c>
      <c r="BZ182" s="223">
        <f>SUM(BZ183:BZ194)</f>
        <v>9</v>
      </c>
      <c r="CA182" s="315">
        <f>SUM(CA183:CA194)</f>
        <v>1</v>
      </c>
      <c r="CB182" s="223">
        <f>SUM(CB183:CB194)</f>
        <v>0</v>
      </c>
      <c r="CC182" s="223">
        <f>SUM(CC183:CC194)</f>
        <v>0</v>
      </c>
    </row>
    <row r="183" spans="1:81" s="229" customFormat="1" ht="15" customHeight="1">
      <c r="A183" s="230">
        <v>145</v>
      </c>
      <c r="B183" s="239" t="s">
        <v>198</v>
      </c>
      <c r="C183" s="232">
        <f aca="true" t="shared" si="388" ref="C183:C194">E183+D183+F183</f>
        <v>3688.327</v>
      </c>
      <c r="D183" s="233"/>
      <c r="E183" s="232">
        <f aca="true" t="shared" si="389" ref="E183:E194">M183</f>
        <v>3688.327</v>
      </c>
      <c r="F183" s="233"/>
      <c r="G183" s="232"/>
      <c r="H183" s="232">
        <f aca="true" t="shared" si="390" ref="H183:H194">I183+J183+K183</f>
        <v>5478.87384</v>
      </c>
      <c r="I183" s="233"/>
      <c r="J183" s="232">
        <f aca="true" t="shared" si="391" ref="J183:J194">AL183</f>
        <v>2221.089</v>
      </c>
      <c r="K183" s="232">
        <f aca="true" t="shared" si="392" ref="K183:K194">BF183</f>
        <v>3257.7848400000003</v>
      </c>
      <c r="L183" s="240"/>
      <c r="M183" s="232">
        <f t="shared" si="300"/>
        <v>3688.327</v>
      </c>
      <c r="N183" s="232"/>
      <c r="O183" s="232">
        <f>1189.272+1467.238</f>
        <v>2656.51</v>
      </c>
      <c r="P183" s="232"/>
      <c r="Q183" s="232">
        <v>1031.817</v>
      </c>
      <c r="R183" s="234">
        <f aca="true" t="shared" si="393" ref="R183:R194">S183+T183+U183+V183</f>
        <v>2221.089</v>
      </c>
      <c r="S183" s="232"/>
      <c r="T183" s="232">
        <v>1189.272</v>
      </c>
      <c r="U183" s="232"/>
      <c r="V183" s="235">
        <v>1031.817</v>
      </c>
      <c r="W183" s="232">
        <f aca="true" t="shared" si="394" ref="W183:W194">X183+Y183+Z183+AA183</f>
        <v>1467.2380000000003</v>
      </c>
      <c r="X183" s="232">
        <f aca="true" t="shared" si="395" ref="X183:AA192">N183-S183</f>
        <v>0</v>
      </c>
      <c r="Y183" s="232">
        <f t="shared" si="395"/>
        <v>1467.2380000000003</v>
      </c>
      <c r="Z183" s="232">
        <f t="shared" si="395"/>
        <v>0</v>
      </c>
      <c r="AA183" s="232">
        <f t="shared" si="395"/>
        <v>0</v>
      </c>
      <c r="AB183" s="232">
        <f aca="true" t="shared" si="396" ref="AB183:AB194">AC183+AD183+AE183+AF183</f>
        <v>2221.089</v>
      </c>
      <c r="AC183" s="232"/>
      <c r="AD183" s="232">
        <f aca="true" t="shared" si="397" ref="AD183:AF194">T183</f>
        <v>1189.272</v>
      </c>
      <c r="AE183" s="232">
        <f t="shared" si="397"/>
        <v>0</v>
      </c>
      <c r="AF183" s="232">
        <f t="shared" si="397"/>
        <v>1031.817</v>
      </c>
      <c r="AG183" s="232">
        <f aca="true" t="shared" si="398" ref="AG183:AG194">AH183+AI183+AJ183+AK183</f>
        <v>0</v>
      </c>
      <c r="AH183" s="232"/>
      <c r="AI183" s="232"/>
      <c r="AJ183" s="232"/>
      <c r="AK183" s="236"/>
      <c r="AL183" s="234">
        <f aca="true" t="shared" si="399" ref="AL183:AL194">AM183+AN183+AO183+AP183</f>
        <v>2221.089</v>
      </c>
      <c r="AM183" s="232"/>
      <c r="AN183" s="232">
        <f aca="true" t="shared" si="400" ref="AN183:AN194">AD183</f>
        <v>1189.272</v>
      </c>
      <c r="AO183" s="232"/>
      <c r="AP183" s="235">
        <f aca="true" t="shared" si="401" ref="AP183:AP189">AF183</f>
        <v>1031.817</v>
      </c>
      <c r="AQ183" s="232">
        <f aca="true" t="shared" si="402" ref="AQ183:AQ192">AR183+AS183+AT183+AU183</f>
        <v>2221.089</v>
      </c>
      <c r="AR183" s="232"/>
      <c r="AS183" s="232">
        <f>753.944+435.328</f>
        <v>1189.272</v>
      </c>
      <c r="AT183" s="232"/>
      <c r="AU183" s="232">
        <f>1031.817</f>
        <v>1031.817</v>
      </c>
      <c r="AV183" s="232">
        <f aca="true" t="shared" si="403" ref="AV183:AV194">AW183+AX183+AY183+AZ183</f>
        <v>2221.089</v>
      </c>
      <c r="AW183" s="232"/>
      <c r="AX183" s="232">
        <f>753.944+435.328</f>
        <v>1189.272</v>
      </c>
      <c r="AY183" s="232"/>
      <c r="AZ183" s="232">
        <f>1031.817</f>
        <v>1031.817</v>
      </c>
      <c r="BA183" s="232">
        <f aca="true" t="shared" si="404" ref="BA183:BA192">BB183+BC183+BD183+BE183</f>
        <v>3257.7848400000003</v>
      </c>
      <c r="BB183" s="232"/>
      <c r="BC183" s="232">
        <v>3171.51168</v>
      </c>
      <c r="BD183" s="232"/>
      <c r="BE183" s="232">
        <v>86.27316</v>
      </c>
      <c r="BF183" s="232">
        <f aca="true" t="shared" si="405" ref="BF183:BF194">BG183+BH183+BI183+BJ183</f>
        <v>3257.7848400000003</v>
      </c>
      <c r="BG183" s="232"/>
      <c r="BH183" s="232">
        <v>3171.51168</v>
      </c>
      <c r="BI183" s="232"/>
      <c r="BJ183" s="232">
        <v>86.27316</v>
      </c>
      <c r="BK183" s="232">
        <f aca="true" t="shared" si="406" ref="BK183:BK194">BL183+BM183+BN183+BO183</f>
        <v>5478.87384</v>
      </c>
      <c r="BL183" s="232">
        <f aca="true" t="shared" si="407" ref="BL183:BL192">AW183+BG183</f>
        <v>0</v>
      </c>
      <c r="BM183" s="232">
        <f aca="true" t="shared" si="408" ref="BM183:BM192">AX183+BH183</f>
        <v>4360.7836800000005</v>
      </c>
      <c r="BN183" s="232">
        <f aca="true" t="shared" si="409" ref="BN183:BN192">AY183+BI183</f>
        <v>0</v>
      </c>
      <c r="BO183" s="232">
        <f aca="true" t="shared" si="410" ref="BO183:BO192">AZ183+BJ183</f>
        <v>1118.09016</v>
      </c>
      <c r="BP183" s="316">
        <f aca="true" t="shared" si="411" ref="BP183:BP194">BQ183+BR183+BS183+BT183</f>
        <v>0</v>
      </c>
      <c r="BQ183" s="317">
        <f aca="true" t="shared" si="412" ref="BQ183:BQ192">AM183-AW183</f>
        <v>0</v>
      </c>
      <c r="BR183" s="317">
        <f aca="true" t="shared" si="413" ref="BR183:BR192">AN183-AX183</f>
        <v>0</v>
      </c>
      <c r="BS183" s="317">
        <f aca="true" t="shared" si="414" ref="BS183:BS192">AO183-AY183</f>
        <v>0</v>
      </c>
      <c r="BT183" s="317">
        <f aca="true" t="shared" si="415" ref="BT183:BT192">AP183-AZ183</f>
        <v>0</v>
      </c>
      <c r="BU183" s="229">
        <v>1</v>
      </c>
      <c r="BV183" s="305"/>
      <c r="BW183" s="331" t="s">
        <v>228</v>
      </c>
      <c r="BY183" s="232"/>
      <c r="BZ183" s="232">
        <v>1</v>
      </c>
      <c r="CA183" s="317"/>
      <c r="CB183" s="232"/>
      <c r="CC183" s="232"/>
    </row>
    <row r="184" spans="1:81" s="229" customFormat="1" ht="15" customHeight="1">
      <c r="A184" s="230">
        <v>146</v>
      </c>
      <c r="B184" s="239" t="s">
        <v>199</v>
      </c>
      <c r="C184" s="232">
        <f t="shared" si="388"/>
        <v>2034.336</v>
      </c>
      <c r="D184" s="233"/>
      <c r="E184" s="232">
        <f t="shared" si="389"/>
        <v>2034.336</v>
      </c>
      <c r="F184" s="233"/>
      <c r="G184" s="232"/>
      <c r="H184" s="232">
        <f t="shared" si="390"/>
        <v>2163.98809</v>
      </c>
      <c r="I184" s="233"/>
      <c r="J184" s="232">
        <f t="shared" si="391"/>
        <v>2034.336</v>
      </c>
      <c r="K184" s="232">
        <f t="shared" si="392"/>
        <v>129.65209</v>
      </c>
      <c r="L184" s="240"/>
      <c r="M184" s="232">
        <f t="shared" si="300"/>
        <v>2034.336</v>
      </c>
      <c r="N184" s="232"/>
      <c r="O184" s="232">
        <v>2034.336</v>
      </c>
      <c r="P184" s="232"/>
      <c r="Q184" s="232"/>
      <c r="R184" s="234">
        <f t="shared" si="393"/>
        <v>2034.336</v>
      </c>
      <c r="S184" s="232"/>
      <c r="T184" s="232">
        <v>2034.336</v>
      </c>
      <c r="U184" s="232"/>
      <c r="V184" s="235"/>
      <c r="W184" s="232">
        <f t="shared" si="394"/>
        <v>0</v>
      </c>
      <c r="X184" s="232">
        <f t="shared" si="395"/>
        <v>0</v>
      </c>
      <c r="Y184" s="232">
        <f t="shared" si="395"/>
        <v>0</v>
      </c>
      <c r="Z184" s="232">
        <f t="shared" si="395"/>
        <v>0</v>
      </c>
      <c r="AA184" s="232">
        <f t="shared" si="395"/>
        <v>0</v>
      </c>
      <c r="AB184" s="232">
        <f t="shared" si="396"/>
        <v>2034.336</v>
      </c>
      <c r="AC184" s="232"/>
      <c r="AD184" s="232">
        <f t="shared" si="397"/>
        <v>2034.336</v>
      </c>
      <c r="AE184" s="232">
        <f t="shared" si="397"/>
        <v>0</v>
      </c>
      <c r="AF184" s="232">
        <f t="shared" si="397"/>
        <v>0</v>
      </c>
      <c r="AG184" s="232">
        <f t="shared" si="398"/>
        <v>0</v>
      </c>
      <c r="AH184" s="232"/>
      <c r="AI184" s="232"/>
      <c r="AJ184" s="232"/>
      <c r="AK184" s="236"/>
      <c r="AL184" s="234">
        <f t="shared" si="399"/>
        <v>2034.336</v>
      </c>
      <c r="AM184" s="232"/>
      <c r="AN184" s="232">
        <f t="shared" si="400"/>
        <v>2034.336</v>
      </c>
      <c r="AO184" s="232"/>
      <c r="AP184" s="235"/>
      <c r="AQ184" s="232">
        <f t="shared" si="402"/>
        <v>2034.336</v>
      </c>
      <c r="AR184" s="232"/>
      <c r="AS184" s="232">
        <f>506.19084+616.99752+303.71588+303.71588+303.71588</f>
        <v>2034.336</v>
      </c>
      <c r="AT184" s="232"/>
      <c r="AU184" s="232"/>
      <c r="AV184" s="232">
        <f t="shared" si="403"/>
        <v>2034.336</v>
      </c>
      <c r="AW184" s="232"/>
      <c r="AX184" s="232">
        <f>506.19084+616.99752+303.71588+303.71588+303.71588</f>
        <v>2034.336</v>
      </c>
      <c r="AY184" s="232"/>
      <c r="AZ184" s="232"/>
      <c r="BA184" s="232">
        <f t="shared" si="404"/>
        <v>129.65209</v>
      </c>
      <c r="BB184" s="232"/>
      <c r="BC184" s="232">
        <v>129.65209</v>
      </c>
      <c r="BD184" s="232"/>
      <c r="BE184" s="232"/>
      <c r="BF184" s="232">
        <f t="shared" si="405"/>
        <v>129.65209</v>
      </c>
      <c r="BG184" s="232"/>
      <c r="BH184" s="232">
        <v>129.65209</v>
      </c>
      <c r="BI184" s="232"/>
      <c r="BJ184" s="232"/>
      <c r="BK184" s="232">
        <f t="shared" si="406"/>
        <v>2163.98809</v>
      </c>
      <c r="BL184" s="232">
        <f t="shared" si="407"/>
        <v>0</v>
      </c>
      <c r="BM184" s="232">
        <f t="shared" si="408"/>
        <v>2163.98809</v>
      </c>
      <c r="BN184" s="232">
        <f t="shared" si="409"/>
        <v>0</v>
      </c>
      <c r="BO184" s="232">
        <f t="shared" si="410"/>
        <v>0</v>
      </c>
      <c r="BP184" s="316">
        <f t="shared" si="411"/>
        <v>0</v>
      </c>
      <c r="BQ184" s="317">
        <f t="shared" si="412"/>
        <v>0</v>
      </c>
      <c r="BR184" s="317">
        <f t="shared" si="413"/>
        <v>0</v>
      </c>
      <c r="BS184" s="317">
        <f t="shared" si="414"/>
        <v>0</v>
      </c>
      <c r="BT184" s="317">
        <f t="shared" si="415"/>
        <v>0</v>
      </c>
      <c r="BU184" s="229">
        <v>1</v>
      </c>
      <c r="BV184" s="305"/>
      <c r="BW184" s="331" t="s">
        <v>228</v>
      </c>
      <c r="BY184" s="232"/>
      <c r="BZ184" s="232">
        <v>1</v>
      </c>
      <c r="CA184" s="317"/>
      <c r="CB184" s="232"/>
      <c r="CC184" s="232"/>
    </row>
    <row r="185" spans="1:81" s="229" customFormat="1" ht="24" customHeight="1">
      <c r="A185" s="230">
        <v>147</v>
      </c>
      <c r="B185" s="239" t="s">
        <v>200</v>
      </c>
      <c r="C185" s="232">
        <f t="shared" si="388"/>
        <v>9931.576000000001</v>
      </c>
      <c r="D185" s="233"/>
      <c r="E185" s="232">
        <f t="shared" si="389"/>
        <v>9931.576000000001</v>
      </c>
      <c r="F185" s="233"/>
      <c r="G185" s="232"/>
      <c r="H185" s="232">
        <f t="shared" si="390"/>
        <v>10573.71484</v>
      </c>
      <c r="I185" s="233"/>
      <c r="J185" s="232">
        <f t="shared" si="391"/>
        <v>9931.576000000001</v>
      </c>
      <c r="K185" s="232">
        <f t="shared" si="392"/>
        <v>642.13884</v>
      </c>
      <c r="L185" s="240"/>
      <c r="M185" s="232">
        <f t="shared" si="300"/>
        <v>9931.576000000001</v>
      </c>
      <c r="N185" s="232"/>
      <c r="O185" s="232">
        <v>2454.849</v>
      </c>
      <c r="P185" s="232">
        <v>5409.947</v>
      </c>
      <c r="Q185" s="232">
        <f>2135.204-68.424</f>
        <v>2066.78</v>
      </c>
      <c r="R185" s="234">
        <f t="shared" si="393"/>
        <v>9931.576000000001</v>
      </c>
      <c r="S185" s="232"/>
      <c r="T185" s="232">
        <v>2454.849</v>
      </c>
      <c r="U185" s="232">
        <v>5409.947</v>
      </c>
      <c r="V185" s="235">
        <v>2066.78</v>
      </c>
      <c r="W185" s="232">
        <f t="shared" si="394"/>
        <v>0</v>
      </c>
      <c r="X185" s="232">
        <f t="shared" si="395"/>
        <v>0</v>
      </c>
      <c r="Y185" s="232">
        <f t="shared" si="395"/>
        <v>0</v>
      </c>
      <c r="Z185" s="232">
        <f t="shared" si="395"/>
        <v>0</v>
      </c>
      <c r="AA185" s="232">
        <f t="shared" si="395"/>
        <v>0</v>
      </c>
      <c r="AB185" s="232">
        <f t="shared" si="396"/>
        <v>9931.576000000001</v>
      </c>
      <c r="AC185" s="232"/>
      <c r="AD185" s="232">
        <f t="shared" si="397"/>
        <v>2454.849</v>
      </c>
      <c r="AE185" s="232">
        <f t="shared" si="397"/>
        <v>5409.947</v>
      </c>
      <c r="AF185" s="232">
        <f t="shared" si="397"/>
        <v>2066.78</v>
      </c>
      <c r="AG185" s="232">
        <f t="shared" si="398"/>
        <v>0</v>
      </c>
      <c r="AH185" s="232"/>
      <c r="AI185" s="232"/>
      <c r="AJ185" s="232"/>
      <c r="AK185" s="236"/>
      <c r="AL185" s="234">
        <f t="shared" si="399"/>
        <v>9931.576000000001</v>
      </c>
      <c r="AM185" s="232"/>
      <c r="AN185" s="232">
        <f t="shared" si="400"/>
        <v>2454.849</v>
      </c>
      <c r="AO185" s="232">
        <f>AE185</f>
        <v>5409.947</v>
      </c>
      <c r="AP185" s="235">
        <f t="shared" si="401"/>
        <v>2066.78</v>
      </c>
      <c r="AQ185" s="232">
        <f t="shared" si="402"/>
        <v>9776.378999999999</v>
      </c>
      <c r="AR185" s="232"/>
      <c r="AS185" s="232">
        <f>1486.583+924.742</f>
        <v>2411.325</v>
      </c>
      <c r="AT185" s="232">
        <v>5409.9</v>
      </c>
      <c r="AU185" s="232">
        <f>267.119+1688.035</f>
        <v>1955.154</v>
      </c>
      <c r="AV185" s="232">
        <f t="shared" si="403"/>
        <v>9776.426</v>
      </c>
      <c r="AW185" s="232"/>
      <c r="AX185" s="232">
        <f>1486.583+924.742</f>
        <v>2411.325</v>
      </c>
      <c r="AY185" s="232">
        <f>AO185</f>
        <v>5409.947</v>
      </c>
      <c r="AZ185" s="232">
        <f>267.119+1688.035</f>
        <v>1955.154</v>
      </c>
      <c r="BA185" s="232">
        <f t="shared" si="404"/>
        <v>642.13884</v>
      </c>
      <c r="BB185" s="232"/>
      <c r="BC185" s="232">
        <v>126.91242</v>
      </c>
      <c r="BD185" s="232">
        <v>412.32263</v>
      </c>
      <c r="BE185" s="232">
        <v>102.90379</v>
      </c>
      <c r="BF185" s="232">
        <f t="shared" si="405"/>
        <v>642.13884</v>
      </c>
      <c r="BG185" s="232"/>
      <c r="BH185" s="232">
        <v>126.91242</v>
      </c>
      <c r="BI185" s="232">
        <v>412.32263</v>
      </c>
      <c r="BJ185" s="232">
        <v>102.90379</v>
      </c>
      <c r="BK185" s="232">
        <f t="shared" si="406"/>
        <v>10418.56484</v>
      </c>
      <c r="BL185" s="232">
        <f t="shared" si="407"/>
        <v>0</v>
      </c>
      <c r="BM185" s="232">
        <f t="shared" si="408"/>
        <v>2538.23742</v>
      </c>
      <c r="BN185" s="232">
        <f t="shared" si="409"/>
        <v>5822.26963</v>
      </c>
      <c r="BO185" s="232">
        <f t="shared" si="410"/>
        <v>2058.05779</v>
      </c>
      <c r="BP185" s="316">
        <f t="shared" si="411"/>
        <v>155.15000000000055</v>
      </c>
      <c r="BQ185" s="317">
        <f t="shared" si="412"/>
        <v>0</v>
      </c>
      <c r="BR185" s="317">
        <f t="shared" si="413"/>
        <v>43.52400000000034</v>
      </c>
      <c r="BS185" s="317">
        <f t="shared" si="414"/>
        <v>0</v>
      </c>
      <c r="BT185" s="317">
        <f t="shared" si="415"/>
        <v>111.6260000000002</v>
      </c>
      <c r="BU185" s="229">
        <v>1</v>
      </c>
      <c r="BV185" s="305"/>
      <c r="BW185" s="331" t="s">
        <v>234</v>
      </c>
      <c r="BY185" s="232">
        <v>155.2</v>
      </c>
      <c r="BZ185" s="232">
        <v>1</v>
      </c>
      <c r="CA185" s="317"/>
      <c r="CB185" s="232"/>
      <c r="CC185" s="232"/>
    </row>
    <row r="186" spans="1:81" s="229" customFormat="1" ht="21.75" customHeight="1">
      <c r="A186" s="230">
        <v>148</v>
      </c>
      <c r="B186" s="239" t="s">
        <v>201</v>
      </c>
      <c r="C186" s="232">
        <f t="shared" si="388"/>
        <v>1424.3680000000002</v>
      </c>
      <c r="D186" s="233"/>
      <c r="E186" s="232">
        <f t="shared" si="389"/>
        <v>1424.3680000000002</v>
      </c>
      <c r="F186" s="233"/>
      <c r="G186" s="232"/>
      <c r="H186" s="232">
        <f t="shared" si="390"/>
        <v>1498.98122</v>
      </c>
      <c r="I186" s="233"/>
      <c r="J186" s="232">
        <f t="shared" si="391"/>
        <v>1424.368</v>
      </c>
      <c r="K186" s="232">
        <f t="shared" si="392"/>
        <v>74.61322</v>
      </c>
      <c r="L186" s="240"/>
      <c r="M186" s="232">
        <f t="shared" si="300"/>
        <v>1424.3680000000002</v>
      </c>
      <c r="N186" s="232"/>
      <c r="O186" s="232">
        <f>1449.959-25.591</f>
        <v>1424.3680000000002</v>
      </c>
      <c r="P186" s="232"/>
      <c r="Q186" s="232"/>
      <c r="R186" s="234">
        <f t="shared" si="393"/>
        <v>1424.368</v>
      </c>
      <c r="S186" s="232"/>
      <c r="T186" s="232">
        <v>1424.368</v>
      </c>
      <c r="U186" s="232"/>
      <c r="V186" s="235"/>
      <c r="W186" s="232">
        <f t="shared" si="394"/>
        <v>0</v>
      </c>
      <c r="X186" s="232">
        <f t="shared" si="395"/>
        <v>0</v>
      </c>
      <c r="Y186" s="232">
        <f t="shared" si="395"/>
        <v>0</v>
      </c>
      <c r="Z186" s="232">
        <f t="shared" si="395"/>
        <v>0</v>
      </c>
      <c r="AA186" s="232">
        <f t="shared" si="395"/>
        <v>0</v>
      </c>
      <c r="AB186" s="232">
        <f t="shared" si="396"/>
        <v>1424.368</v>
      </c>
      <c r="AC186" s="232"/>
      <c r="AD186" s="232">
        <f t="shared" si="397"/>
        <v>1424.368</v>
      </c>
      <c r="AE186" s="232">
        <f t="shared" si="397"/>
        <v>0</v>
      </c>
      <c r="AF186" s="232">
        <f t="shared" si="397"/>
        <v>0</v>
      </c>
      <c r="AG186" s="232">
        <f t="shared" si="398"/>
        <v>0</v>
      </c>
      <c r="AH186" s="232"/>
      <c r="AI186" s="232"/>
      <c r="AJ186" s="232"/>
      <c r="AK186" s="236"/>
      <c r="AL186" s="234">
        <f t="shared" si="399"/>
        <v>1424.368</v>
      </c>
      <c r="AM186" s="232"/>
      <c r="AN186" s="232">
        <f t="shared" si="400"/>
        <v>1424.368</v>
      </c>
      <c r="AO186" s="232"/>
      <c r="AP186" s="235"/>
      <c r="AQ186" s="232">
        <f t="shared" si="402"/>
        <v>1417.64</v>
      </c>
      <c r="AR186" s="232"/>
      <c r="AS186" s="232">
        <v>1417.64</v>
      </c>
      <c r="AT186" s="232"/>
      <c r="AU186" s="232"/>
      <c r="AV186" s="232">
        <f t="shared" si="403"/>
        <v>1417.64</v>
      </c>
      <c r="AW186" s="232"/>
      <c r="AX186" s="232">
        <v>1417.64</v>
      </c>
      <c r="AY186" s="232"/>
      <c r="AZ186" s="232"/>
      <c r="BA186" s="232">
        <f t="shared" si="404"/>
        <v>74.61322</v>
      </c>
      <c r="BB186" s="232"/>
      <c r="BC186" s="232">
        <v>74.61322</v>
      </c>
      <c r="BD186" s="232"/>
      <c r="BE186" s="232"/>
      <c r="BF186" s="232">
        <f t="shared" si="405"/>
        <v>74.61322</v>
      </c>
      <c r="BG186" s="232"/>
      <c r="BH186" s="232">
        <v>74.61322</v>
      </c>
      <c r="BI186" s="232"/>
      <c r="BJ186" s="232"/>
      <c r="BK186" s="232">
        <f t="shared" si="406"/>
        <v>1492.25322</v>
      </c>
      <c r="BL186" s="232">
        <f t="shared" si="407"/>
        <v>0</v>
      </c>
      <c r="BM186" s="232">
        <f t="shared" si="408"/>
        <v>1492.25322</v>
      </c>
      <c r="BN186" s="232">
        <f t="shared" si="409"/>
        <v>0</v>
      </c>
      <c r="BO186" s="232">
        <f t="shared" si="410"/>
        <v>0</v>
      </c>
      <c r="BP186" s="316">
        <f t="shared" si="411"/>
        <v>6.727999999999838</v>
      </c>
      <c r="BQ186" s="317">
        <f t="shared" si="412"/>
        <v>0</v>
      </c>
      <c r="BR186" s="317">
        <f t="shared" si="413"/>
        <v>6.727999999999838</v>
      </c>
      <c r="BS186" s="317">
        <f t="shared" si="414"/>
        <v>0</v>
      </c>
      <c r="BT186" s="317">
        <f t="shared" si="415"/>
        <v>0</v>
      </c>
      <c r="BU186" s="229">
        <v>1</v>
      </c>
      <c r="BV186" s="305"/>
      <c r="BW186" s="331" t="s">
        <v>233</v>
      </c>
      <c r="BY186" s="232">
        <v>6.7</v>
      </c>
      <c r="BZ186" s="232">
        <v>1</v>
      </c>
      <c r="CA186" s="317"/>
      <c r="CB186" s="232"/>
      <c r="CC186" s="232"/>
    </row>
    <row r="187" spans="1:81" s="229" customFormat="1" ht="15" customHeight="1">
      <c r="A187" s="230">
        <v>149</v>
      </c>
      <c r="B187" s="239" t="s">
        <v>202</v>
      </c>
      <c r="C187" s="232">
        <f t="shared" si="388"/>
        <v>318.714</v>
      </c>
      <c r="D187" s="233"/>
      <c r="E187" s="232">
        <f t="shared" si="389"/>
        <v>318.714</v>
      </c>
      <c r="F187" s="233"/>
      <c r="G187" s="232"/>
      <c r="H187" s="232">
        <f t="shared" si="390"/>
        <v>575.30582</v>
      </c>
      <c r="I187" s="233"/>
      <c r="J187" s="232">
        <f t="shared" si="391"/>
        <v>318.714</v>
      </c>
      <c r="K187" s="232">
        <f t="shared" si="392"/>
        <v>256.59182</v>
      </c>
      <c r="L187" s="240"/>
      <c r="M187" s="232">
        <f t="shared" si="300"/>
        <v>318.714</v>
      </c>
      <c r="N187" s="232"/>
      <c r="O187" s="232">
        <v>170.654</v>
      </c>
      <c r="P187" s="232"/>
      <c r="Q187" s="232">
        <v>148.06</v>
      </c>
      <c r="R187" s="234">
        <f t="shared" si="393"/>
        <v>318.714</v>
      </c>
      <c r="S187" s="232"/>
      <c r="T187" s="232">
        <v>170.654</v>
      </c>
      <c r="U187" s="232"/>
      <c r="V187" s="235">
        <v>148.06</v>
      </c>
      <c r="W187" s="232">
        <f t="shared" si="394"/>
        <v>0</v>
      </c>
      <c r="X187" s="232">
        <f t="shared" si="395"/>
        <v>0</v>
      </c>
      <c r="Y187" s="232">
        <f t="shared" si="395"/>
        <v>0</v>
      </c>
      <c r="Z187" s="232">
        <f t="shared" si="395"/>
        <v>0</v>
      </c>
      <c r="AA187" s="232">
        <f t="shared" si="395"/>
        <v>0</v>
      </c>
      <c r="AB187" s="232">
        <f t="shared" si="396"/>
        <v>318.714</v>
      </c>
      <c r="AC187" s="232"/>
      <c r="AD187" s="232">
        <f t="shared" si="397"/>
        <v>170.654</v>
      </c>
      <c r="AE187" s="232">
        <f t="shared" si="397"/>
        <v>0</v>
      </c>
      <c r="AF187" s="232">
        <f t="shared" si="397"/>
        <v>148.06</v>
      </c>
      <c r="AG187" s="232">
        <f t="shared" si="398"/>
        <v>0</v>
      </c>
      <c r="AH187" s="232"/>
      <c r="AI187" s="232"/>
      <c r="AJ187" s="232"/>
      <c r="AK187" s="236"/>
      <c r="AL187" s="234">
        <f t="shared" si="399"/>
        <v>318.714</v>
      </c>
      <c r="AM187" s="232"/>
      <c r="AN187" s="232">
        <f t="shared" si="400"/>
        <v>170.654</v>
      </c>
      <c r="AO187" s="232"/>
      <c r="AP187" s="235">
        <f t="shared" si="401"/>
        <v>148.06</v>
      </c>
      <c r="AQ187" s="232">
        <f t="shared" si="402"/>
        <v>318.714</v>
      </c>
      <c r="AR187" s="232"/>
      <c r="AS187" s="232">
        <v>170.654</v>
      </c>
      <c r="AT187" s="232"/>
      <c r="AU187" s="232">
        <v>148.06</v>
      </c>
      <c r="AV187" s="232">
        <f t="shared" si="403"/>
        <v>318.714</v>
      </c>
      <c r="AW187" s="232"/>
      <c r="AX187" s="232">
        <v>170.654</v>
      </c>
      <c r="AY187" s="232"/>
      <c r="AZ187" s="232">
        <v>148.06</v>
      </c>
      <c r="BA187" s="232">
        <f t="shared" si="404"/>
        <v>256.59182</v>
      </c>
      <c r="BB187" s="232"/>
      <c r="BC187" s="232">
        <v>203.63727</v>
      </c>
      <c r="BD187" s="232"/>
      <c r="BE187" s="232">
        <v>52.95455</v>
      </c>
      <c r="BF187" s="232">
        <f t="shared" si="405"/>
        <v>256.59182</v>
      </c>
      <c r="BG187" s="232"/>
      <c r="BH187" s="232">
        <v>203.63727</v>
      </c>
      <c r="BI187" s="232"/>
      <c r="BJ187" s="232">
        <v>52.95455</v>
      </c>
      <c r="BK187" s="232">
        <f t="shared" si="406"/>
        <v>575.30582</v>
      </c>
      <c r="BL187" s="232">
        <f t="shared" si="407"/>
        <v>0</v>
      </c>
      <c r="BM187" s="232">
        <f t="shared" si="408"/>
        <v>374.29127</v>
      </c>
      <c r="BN187" s="232">
        <f t="shared" si="409"/>
        <v>0</v>
      </c>
      <c r="BO187" s="232">
        <f t="shared" si="410"/>
        <v>201.01454999999999</v>
      </c>
      <c r="BP187" s="316">
        <f t="shared" si="411"/>
        <v>0</v>
      </c>
      <c r="BQ187" s="317">
        <f t="shared" si="412"/>
        <v>0</v>
      </c>
      <c r="BR187" s="317">
        <f t="shared" si="413"/>
        <v>0</v>
      </c>
      <c r="BS187" s="317">
        <f t="shared" si="414"/>
        <v>0</v>
      </c>
      <c r="BT187" s="317">
        <f t="shared" si="415"/>
        <v>0</v>
      </c>
      <c r="BU187" s="229">
        <v>1</v>
      </c>
      <c r="BV187" s="305"/>
      <c r="BW187" s="331" t="s">
        <v>228</v>
      </c>
      <c r="BY187" s="232"/>
      <c r="BZ187" s="232">
        <v>1</v>
      </c>
      <c r="CA187" s="317"/>
      <c r="CB187" s="232"/>
      <c r="CC187" s="232"/>
    </row>
    <row r="188" spans="1:81" s="229" customFormat="1" ht="15" customHeight="1">
      <c r="A188" s="230">
        <v>150</v>
      </c>
      <c r="B188" s="239" t="s">
        <v>203</v>
      </c>
      <c r="C188" s="232">
        <f t="shared" si="388"/>
        <v>1127.941</v>
      </c>
      <c r="D188" s="233"/>
      <c r="E188" s="232">
        <f t="shared" si="389"/>
        <v>1127.941</v>
      </c>
      <c r="F188" s="233"/>
      <c r="G188" s="232"/>
      <c r="H188" s="232">
        <f t="shared" si="390"/>
        <v>1880.85293</v>
      </c>
      <c r="I188" s="233"/>
      <c r="J188" s="232">
        <f t="shared" si="391"/>
        <v>1127.941</v>
      </c>
      <c r="K188" s="232">
        <f t="shared" si="392"/>
        <v>752.91193</v>
      </c>
      <c r="L188" s="240"/>
      <c r="M188" s="232">
        <f t="shared" si="300"/>
        <v>1127.941</v>
      </c>
      <c r="N188" s="232"/>
      <c r="O188" s="232">
        <v>1127.941</v>
      </c>
      <c r="P188" s="232"/>
      <c r="Q188" s="232"/>
      <c r="R188" s="234">
        <f t="shared" si="393"/>
        <v>1127.941</v>
      </c>
      <c r="S188" s="232"/>
      <c r="T188" s="232">
        <v>1127.941</v>
      </c>
      <c r="U188" s="232"/>
      <c r="V188" s="235"/>
      <c r="W188" s="232">
        <f t="shared" si="394"/>
        <v>0</v>
      </c>
      <c r="X188" s="232">
        <f t="shared" si="395"/>
        <v>0</v>
      </c>
      <c r="Y188" s="232">
        <f t="shared" si="395"/>
        <v>0</v>
      </c>
      <c r="Z188" s="232">
        <f t="shared" si="395"/>
        <v>0</v>
      </c>
      <c r="AA188" s="232">
        <f t="shared" si="395"/>
        <v>0</v>
      </c>
      <c r="AB188" s="232">
        <f t="shared" si="396"/>
        <v>1127.941</v>
      </c>
      <c r="AC188" s="232"/>
      <c r="AD188" s="232">
        <f t="shared" si="397"/>
        <v>1127.941</v>
      </c>
      <c r="AE188" s="232">
        <f t="shared" si="397"/>
        <v>0</v>
      </c>
      <c r="AF188" s="232">
        <f t="shared" si="397"/>
        <v>0</v>
      </c>
      <c r="AG188" s="232">
        <f t="shared" si="398"/>
        <v>0</v>
      </c>
      <c r="AH188" s="232"/>
      <c r="AI188" s="232"/>
      <c r="AJ188" s="232"/>
      <c r="AK188" s="236"/>
      <c r="AL188" s="234">
        <f t="shared" si="399"/>
        <v>1127.941</v>
      </c>
      <c r="AM188" s="232"/>
      <c r="AN188" s="232">
        <f t="shared" si="400"/>
        <v>1127.941</v>
      </c>
      <c r="AO188" s="232"/>
      <c r="AP188" s="235"/>
      <c r="AQ188" s="232">
        <f t="shared" si="402"/>
        <v>1127.941</v>
      </c>
      <c r="AR188" s="232"/>
      <c r="AS188" s="232">
        <v>1127.941</v>
      </c>
      <c r="AT188" s="232"/>
      <c r="AU188" s="232"/>
      <c r="AV188" s="232">
        <f t="shared" si="403"/>
        <v>1127.941</v>
      </c>
      <c r="AW188" s="232"/>
      <c r="AX188" s="232">
        <v>1127.941</v>
      </c>
      <c r="AY188" s="232"/>
      <c r="AZ188" s="232"/>
      <c r="BA188" s="232">
        <f t="shared" si="404"/>
        <v>752.91193</v>
      </c>
      <c r="BB188" s="232"/>
      <c r="BC188" s="232">
        <v>752.91193</v>
      </c>
      <c r="BD188" s="232"/>
      <c r="BE188" s="232"/>
      <c r="BF188" s="232">
        <f t="shared" si="405"/>
        <v>752.91193</v>
      </c>
      <c r="BG188" s="232"/>
      <c r="BH188" s="232">
        <v>752.91193</v>
      </c>
      <c r="BI188" s="232"/>
      <c r="BJ188" s="232"/>
      <c r="BK188" s="232">
        <f t="shared" si="406"/>
        <v>1880.85293</v>
      </c>
      <c r="BL188" s="232">
        <f t="shared" si="407"/>
        <v>0</v>
      </c>
      <c r="BM188" s="232">
        <f t="shared" si="408"/>
        <v>1880.85293</v>
      </c>
      <c r="BN188" s="232">
        <f t="shared" si="409"/>
        <v>0</v>
      </c>
      <c r="BO188" s="232">
        <f t="shared" si="410"/>
        <v>0</v>
      </c>
      <c r="BP188" s="316">
        <f t="shared" si="411"/>
        <v>0</v>
      </c>
      <c r="BQ188" s="317">
        <f t="shared" si="412"/>
        <v>0</v>
      </c>
      <c r="BR188" s="317">
        <f t="shared" si="413"/>
        <v>0</v>
      </c>
      <c r="BS188" s="317">
        <f t="shared" si="414"/>
        <v>0</v>
      </c>
      <c r="BT188" s="317">
        <f t="shared" si="415"/>
        <v>0</v>
      </c>
      <c r="BU188" s="229">
        <v>1</v>
      </c>
      <c r="BV188" s="305"/>
      <c r="BW188" s="331" t="s">
        <v>228</v>
      </c>
      <c r="BY188" s="232"/>
      <c r="BZ188" s="232">
        <v>1</v>
      </c>
      <c r="CA188" s="317"/>
      <c r="CB188" s="232"/>
      <c r="CC188" s="232"/>
    </row>
    <row r="189" spans="1:81" s="229" customFormat="1" ht="24.75" customHeight="1">
      <c r="A189" s="230">
        <v>151</v>
      </c>
      <c r="B189" s="239" t="s">
        <v>204</v>
      </c>
      <c r="C189" s="232">
        <f t="shared" si="388"/>
        <v>8769.859</v>
      </c>
      <c r="D189" s="233"/>
      <c r="E189" s="232">
        <f t="shared" si="389"/>
        <v>8769.859</v>
      </c>
      <c r="F189" s="233"/>
      <c r="G189" s="232"/>
      <c r="H189" s="232">
        <f t="shared" si="390"/>
        <v>9599.11491</v>
      </c>
      <c r="I189" s="233"/>
      <c r="J189" s="232">
        <f t="shared" si="391"/>
        <v>8769.859</v>
      </c>
      <c r="K189" s="232">
        <f t="shared" si="392"/>
        <v>829.25591</v>
      </c>
      <c r="L189" s="240"/>
      <c r="M189" s="232">
        <f t="shared" si="300"/>
        <v>8769.859</v>
      </c>
      <c r="N189" s="232"/>
      <c r="O189" s="232">
        <v>4695.782</v>
      </c>
      <c r="P189" s="232"/>
      <c r="Q189" s="232">
        <v>4074.077</v>
      </c>
      <c r="R189" s="234">
        <f t="shared" si="393"/>
        <v>8769.859</v>
      </c>
      <c r="S189" s="232"/>
      <c r="T189" s="232">
        <v>4695.782</v>
      </c>
      <c r="U189" s="232"/>
      <c r="V189" s="235">
        <v>4074.077</v>
      </c>
      <c r="W189" s="232">
        <f t="shared" si="394"/>
        <v>0</v>
      </c>
      <c r="X189" s="232">
        <f t="shared" si="395"/>
        <v>0</v>
      </c>
      <c r="Y189" s="232">
        <f t="shared" si="395"/>
        <v>0</v>
      </c>
      <c r="Z189" s="232">
        <f t="shared" si="395"/>
        <v>0</v>
      </c>
      <c r="AA189" s="232">
        <f t="shared" si="395"/>
        <v>0</v>
      </c>
      <c r="AB189" s="232">
        <f t="shared" si="396"/>
        <v>8769.859</v>
      </c>
      <c r="AC189" s="232"/>
      <c r="AD189" s="232">
        <f t="shared" si="397"/>
        <v>4695.782</v>
      </c>
      <c r="AE189" s="232">
        <f t="shared" si="397"/>
        <v>0</v>
      </c>
      <c r="AF189" s="232">
        <f t="shared" si="397"/>
        <v>4074.077</v>
      </c>
      <c r="AG189" s="232">
        <f t="shared" si="398"/>
        <v>0</v>
      </c>
      <c r="AH189" s="232"/>
      <c r="AI189" s="232"/>
      <c r="AJ189" s="232"/>
      <c r="AK189" s="236"/>
      <c r="AL189" s="234">
        <f t="shared" si="399"/>
        <v>8769.859</v>
      </c>
      <c r="AM189" s="232"/>
      <c r="AN189" s="232">
        <f t="shared" si="400"/>
        <v>4695.782</v>
      </c>
      <c r="AO189" s="232"/>
      <c r="AP189" s="235">
        <f t="shared" si="401"/>
        <v>4074.077</v>
      </c>
      <c r="AQ189" s="232">
        <f t="shared" si="402"/>
        <v>7362.495</v>
      </c>
      <c r="AR189" s="232"/>
      <c r="AS189" s="232">
        <f>3879.16</f>
        <v>3879.16</v>
      </c>
      <c r="AT189" s="232"/>
      <c r="AU189" s="232">
        <v>3483.335</v>
      </c>
      <c r="AV189" s="232">
        <f t="shared" si="403"/>
        <v>7362.495</v>
      </c>
      <c r="AW189" s="232"/>
      <c r="AX189" s="232">
        <f>3879.16</f>
        <v>3879.16</v>
      </c>
      <c r="AY189" s="232"/>
      <c r="AZ189" s="232">
        <v>3483.335</v>
      </c>
      <c r="BA189" s="232">
        <f t="shared" si="404"/>
        <v>829.25591</v>
      </c>
      <c r="BB189" s="232"/>
      <c r="BC189" s="232">
        <v>388.55744</v>
      </c>
      <c r="BD189" s="232"/>
      <c r="BE189" s="232">
        <v>440.69847</v>
      </c>
      <c r="BF189" s="232">
        <f t="shared" si="405"/>
        <v>829.25591</v>
      </c>
      <c r="BG189" s="232"/>
      <c r="BH189" s="232">
        <v>388.55744</v>
      </c>
      <c r="BI189" s="232"/>
      <c r="BJ189" s="232">
        <v>440.69847</v>
      </c>
      <c r="BK189" s="232">
        <f t="shared" si="406"/>
        <v>8191.750909999999</v>
      </c>
      <c r="BL189" s="232">
        <f t="shared" si="407"/>
        <v>0</v>
      </c>
      <c r="BM189" s="232">
        <f t="shared" si="408"/>
        <v>4267.717439999999</v>
      </c>
      <c r="BN189" s="232">
        <f t="shared" si="409"/>
        <v>0</v>
      </c>
      <c r="BO189" s="232">
        <f t="shared" si="410"/>
        <v>3924.03347</v>
      </c>
      <c r="BP189" s="316">
        <f t="shared" si="411"/>
        <v>1407.3640000000005</v>
      </c>
      <c r="BQ189" s="317">
        <f t="shared" si="412"/>
        <v>0</v>
      </c>
      <c r="BR189" s="317">
        <f t="shared" si="413"/>
        <v>816.6220000000003</v>
      </c>
      <c r="BS189" s="317">
        <f t="shared" si="414"/>
        <v>0</v>
      </c>
      <c r="BT189" s="317">
        <f t="shared" si="415"/>
        <v>590.7420000000002</v>
      </c>
      <c r="BU189" s="229">
        <v>1</v>
      </c>
      <c r="BV189" s="305"/>
      <c r="BW189" s="331" t="s">
        <v>232</v>
      </c>
      <c r="BY189" s="232">
        <v>1407.4</v>
      </c>
      <c r="BZ189" s="232">
        <v>1</v>
      </c>
      <c r="CA189" s="317"/>
      <c r="CB189" s="232"/>
      <c r="CC189" s="232"/>
    </row>
    <row r="190" spans="1:81" s="229" customFormat="1" ht="15.75" customHeight="1">
      <c r="A190" s="230">
        <v>152</v>
      </c>
      <c r="B190" s="239" t="s">
        <v>205</v>
      </c>
      <c r="C190" s="232">
        <f t="shared" si="388"/>
        <v>1775.798</v>
      </c>
      <c r="D190" s="233"/>
      <c r="E190" s="232">
        <f t="shared" si="389"/>
        <v>1775.798</v>
      </c>
      <c r="F190" s="233"/>
      <c r="G190" s="232"/>
      <c r="H190" s="232">
        <f t="shared" si="390"/>
        <v>1900.843</v>
      </c>
      <c r="I190" s="233"/>
      <c r="J190" s="232">
        <f t="shared" si="391"/>
        <v>1775.798</v>
      </c>
      <c r="K190" s="232">
        <f t="shared" si="392"/>
        <v>125.045</v>
      </c>
      <c r="L190" s="240"/>
      <c r="M190" s="232">
        <f t="shared" si="300"/>
        <v>1775.798</v>
      </c>
      <c r="N190" s="232"/>
      <c r="O190" s="232">
        <v>1775.798</v>
      </c>
      <c r="P190" s="232"/>
      <c r="Q190" s="232"/>
      <c r="R190" s="234">
        <f t="shared" si="393"/>
        <v>1775.798</v>
      </c>
      <c r="S190" s="232"/>
      <c r="T190" s="232">
        <f>950.843+824.955</f>
        <v>1775.798</v>
      </c>
      <c r="U190" s="232"/>
      <c r="V190" s="235"/>
      <c r="W190" s="232">
        <f t="shared" si="394"/>
        <v>0</v>
      </c>
      <c r="X190" s="232">
        <f t="shared" si="395"/>
        <v>0</v>
      </c>
      <c r="Y190" s="232">
        <f t="shared" si="395"/>
        <v>0</v>
      </c>
      <c r="Z190" s="232">
        <f t="shared" si="395"/>
        <v>0</v>
      </c>
      <c r="AA190" s="232">
        <f t="shared" si="395"/>
        <v>0</v>
      </c>
      <c r="AB190" s="232">
        <f t="shared" si="396"/>
        <v>1775.798</v>
      </c>
      <c r="AC190" s="232"/>
      <c r="AD190" s="232">
        <f t="shared" si="397"/>
        <v>1775.798</v>
      </c>
      <c r="AE190" s="232">
        <f t="shared" si="397"/>
        <v>0</v>
      </c>
      <c r="AF190" s="232">
        <f t="shared" si="397"/>
        <v>0</v>
      </c>
      <c r="AG190" s="232">
        <f t="shared" si="398"/>
        <v>0</v>
      </c>
      <c r="AH190" s="232"/>
      <c r="AI190" s="232"/>
      <c r="AJ190" s="232"/>
      <c r="AK190" s="236"/>
      <c r="AL190" s="234">
        <f t="shared" si="399"/>
        <v>1775.798</v>
      </c>
      <c r="AM190" s="232"/>
      <c r="AN190" s="232">
        <f t="shared" si="400"/>
        <v>1775.798</v>
      </c>
      <c r="AO190" s="232"/>
      <c r="AP190" s="235"/>
      <c r="AQ190" s="232">
        <f t="shared" si="402"/>
        <v>824.955</v>
      </c>
      <c r="AR190" s="232"/>
      <c r="AS190" s="232">
        <f>824.955</f>
        <v>824.955</v>
      </c>
      <c r="AT190" s="232"/>
      <c r="AU190" s="232"/>
      <c r="AV190" s="232">
        <f t="shared" si="403"/>
        <v>824.955</v>
      </c>
      <c r="AW190" s="232"/>
      <c r="AX190" s="232">
        <f>824.955</f>
        <v>824.955</v>
      </c>
      <c r="AY190" s="232"/>
      <c r="AZ190" s="232"/>
      <c r="BA190" s="232">
        <f t="shared" si="404"/>
        <v>125.045</v>
      </c>
      <c r="BB190" s="232"/>
      <c r="BC190" s="232">
        <v>125.045</v>
      </c>
      <c r="BD190" s="232"/>
      <c r="BE190" s="232"/>
      <c r="BF190" s="232">
        <f t="shared" si="405"/>
        <v>125.045</v>
      </c>
      <c r="BG190" s="232"/>
      <c r="BH190" s="232">
        <v>125.045</v>
      </c>
      <c r="BI190" s="232"/>
      <c r="BJ190" s="232"/>
      <c r="BK190" s="232">
        <f t="shared" si="406"/>
        <v>950</v>
      </c>
      <c r="BL190" s="232">
        <f t="shared" si="407"/>
        <v>0</v>
      </c>
      <c r="BM190" s="232">
        <f t="shared" si="408"/>
        <v>950</v>
      </c>
      <c r="BN190" s="232">
        <f t="shared" si="409"/>
        <v>0</v>
      </c>
      <c r="BO190" s="232">
        <f t="shared" si="410"/>
        <v>0</v>
      </c>
      <c r="BP190" s="316">
        <f t="shared" si="411"/>
        <v>950.843</v>
      </c>
      <c r="BQ190" s="317">
        <f t="shared" si="412"/>
        <v>0</v>
      </c>
      <c r="BR190" s="317">
        <f t="shared" si="413"/>
        <v>950.843</v>
      </c>
      <c r="BS190" s="317">
        <f t="shared" si="414"/>
        <v>0</v>
      </c>
      <c r="BT190" s="317">
        <f t="shared" si="415"/>
        <v>0</v>
      </c>
      <c r="BV190" s="305">
        <v>1</v>
      </c>
      <c r="BW190" s="332" t="s">
        <v>229</v>
      </c>
      <c r="BY190" s="232"/>
      <c r="BZ190" s="232"/>
      <c r="CA190" s="317">
        <v>1</v>
      </c>
      <c r="CB190" s="232"/>
      <c r="CC190" s="232"/>
    </row>
    <row r="191" spans="1:81" s="229" customFormat="1" ht="15" customHeight="1" hidden="1">
      <c r="A191" s="230"/>
      <c r="B191" s="239" t="s">
        <v>206</v>
      </c>
      <c r="C191" s="232">
        <f t="shared" si="388"/>
        <v>0</v>
      </c>
      <c r="D191" s="233"/>
      <c r="E191" s="232">
        <f t="shared" si="389"/>
        <v>0</v>
      </c>
      <c r="F191" s="233"/>
      <c r="G191" s="232"/>
      <c r="H191" s="232">
        <f t="shared" si="390"/>
        <v>0</v>
      </c>
      <c r="I191" s="233"/>
      <c r="J191" s="232">
        <f t="shared" si="391"/>
        <v>0</v>
      </c>
      <c r="K191" s="232">
        <f t="shared" si="392"/>
        <v>0</v>
      </c>
      <c r="L191" s="239"/>
      <c r="M191" s="237"/>
      <c r="N191" s="237"/>
      <c r="O191" s="274"/>
      <c r="P191" s="275"/>
      <c r="Q191" s="275"/>
      <c r="R191" s="234">
        <f t="shared" si="393"/>
        <v>0</v>
      </c>
      <c r="S191" s="237"/>
      <c r="T191" s="274">
        <f>1193.494-1193.494</f>
        <v>0</v>
      </c>
      <c r="U191" s="237"/>
      <c r="V191" s="276"/>
      <c r="W191" s="232">
        <f t="shared" si="394"/>
        <v>0</v>
      </c>
      <c r="X191" s="232">
        <f t="shared" si="395"/>
        <v>0</v>
      </c>
      <c r="Y191" s="232">
        <f t="shared" si="395"/>
        <v>0</v>
      </c>
      <c r="Z191" s="232">
        <f t="shared" si="395"/>
        <v>0</v>
      </c>
      <c r="AA191" s="232">
        <f t="shared" si="395"/>
        <v>0</v>
      </c>
      <c r="AB191" s="232">
        <f t="shared" si="396"/>
        <v>0</v>
      </c>
      <c r="AC191" s="232"/>
      <c r="AD191" s="232">
        <f t="shared" si="397"/>
        <v>0</v>
      </c>
      <c r="AE191" s="232">
        <f t="shared" si="397"/>
        <v>0</v>
      </c>
      <c r="AF191" s="232">
        <f t="shared" si="397"/>
        <v>0</v>
      </c>
      <c r="AG191" s="232">
        <f t="shared" si="398"/>
        <v>1193.494</v>
      </c>
      <c r="AH191" s="232"/>
      <c r="AI191" s="237">
        <v>1193.494</v>
      </c>
      <c r="AJ191" s="232"/>
      <c r="AK191" s="236"/>
      <c r="AL191" s="234">
        <f t="shared" si="399"/>
        <v>0</v>
      </c>
      <c r="AM191" s="232"/>
      <c r="AN191" s="232"/>
      <c r="AO191" s="232"/>
      <c r="AP191" s="235"/>
      <c r="AQ191" s="232">
        <f t="shared" si="402"/>
        <v>0</v>
      </c>
      <c r="AR191" s="232"/>
      <c r="AS191" s="232"/>
      <c r="AT191" s="232"/>
      <c r="AU191" s="232"/>
      <c r="AV191" s="232">
        <f t="shared" si="403"/>
        <v>0</v>
      </c>
      <c r="AW191" s="232"/>
      <c r="AX191" s="232"/>
      <c r="AY191" s="232"/>
      <c r="AZ191" s="232"/>
      <c r="BA191" s="232">
        <f t="shared" si="404"/>
        <v>0</v>
      </c>
      <c r="BB191" s="232"/>
      <c r="BC191" s="232"/>
      <c r="BD191" s="232"/>
      <c r="BE191" s="232"/>
      <c r="BF191" s="232">
        <f t="shared" si="405"/>
        <v>0</v>
      </c>
      <c r="BG191" s="232"/>
      <c r="BH191" s="232"/>
      <c r="BI191" s="232"/>
      <c r="BJ191" s="232"/>
      <c r="BK191" s="232">
        <f t="shared" si="406"/>
        <v>0</v>
      </c>
      <c r="BL191" s="232">
        <f t="shared" si="407"/>
        <v>0</v>
      </c>
      <c r="BM191" s="232">
        <f t="shared" si="408"/>
        <v>0</v>
      </c>
      <c r="BN191" s="232">
        <f t="shared" si="409"/>
        <v>0</v>
      </c>
      <c r="BO191" s="232">
        <f t="shared" si="410"/>
        <v>0</v>
      </c>
      <c r="BP191" s="316">
        <f t="shared" si="411"/>
        <v>0</v>
      </c>
      <c r="BQ191" s="317">
        <f t="shared" si="412"/>
        <v>0</v>
      </c>
      <c r="BR191" s="317">
        <f t="shared" si="413"/>
        <v>0</v>
      </c>
      <c r="BS191" s="317">
        <f t="shared" si="414"/>
        <v>0</v>
      </c>
      <c r="BT191" s="317">
        <f t="shared" si="415"/>
        <v>0</v>
      </c>
      <c r="BV191" s="305"/>
      <c r="BW191" s="359"/>
      <c r="BY191" s="232"/>
      <c r="BZ191" s="232"/>
      <c r="CA191" s="317"/>
      <c r="CB191" s="232"/>
      <c r="CC191" s="232"/>
    </row>
    <row r="192" spans="1:81" s="229" customFormat="1" ht="15" customHeight="1">
      <c r="A192" s="230">
        <v>153</v>
      </c>
      <c r="B192" s="239" t="s">
        <v>207</v>
      </c>
      <c r="C192" s="232">
        <f t="shared" si="388"/>
        <v>403.63800000000003</v>
      </c>
      <c r="D192" s="233"/>
      <c r="E192" s="232">
        <f t="shared" si="389"/>
        <v>403.63800000000003</v>
      </c>
      <c r="F192" s="233"/>
      <c r="G192" s="232"/>
      <c r="H192" s="232">
        <f t="shared" si="390"/>
        <v>795.58417</v>
      </c>
      <c r="I192" s="233"/>
      <c r="J192" s="232">
        <f t="shared" si="391"/>
        <v>403.638</v>
      </c>
      <c r="K192" s="232">
        <f t="shared" si="392"/>
        <v>391.94617</v>
      </c>
      <c r="L192" s="239"/>
      <c r="M192" s="237">
        <f t="shared" si="300"/>
        <v>403.63800000000003</v>
      </c>
      <c r="N192" s="237"/>
      <c r="O192" s="274">
        <f>753.836-350.198</f>
        <v>403.63800000000003</v>
      </c>
      <c r="P192" s="275"/>
      <c r="Q192" s="277"/>
      <c r="R192" s="234">
        <f t="shared" si="393"/>
        <v>403.638</v>
      </c>
      <c r="S192" s="237"/>
      <c r="T192" s="278">
        <v>403.638</v>
      </c>
      <c r="U192" s="279"/>
      <c r="V192" s="280"/>
      <c r="W192" s="232">
        <f t="shared" si="394"/>
        <v>0</v>
      </c>
      <c r="X192" s="232">
        <f t="shared" si="395"/>
        <v>0</v>
      </c>
      <c r="Y192" s="232">
        <f t="shared" si="395"/>
        <v>0</v>
      </c>
      <c r="Z192" s="232">
        <f t="shared" si="395"/>
        <v>0</v>
      </c>
      <c r="AA192" s="232">
        <f t="shared" si="395"/>
        <v>0</v>
      </c>
      <c r="AB192" s="237">
        <f t="shared" si="396"/>
        <v>403.638</v>
      </c>
      <c r="AC192" s="232"/>
      <c r="AD192" s="232">
        <f t="shared" si="397"/>
        <v>403.638</v>
      </c>
      <c r="AE192" s="232">
        <f t="shared" si="397"/>
        <v>0</v>
      </c>
      <c r="AF192" s="232">
        <f t="shared" si="397"/>
        <v>0</v>
      </c>
      <c r="AG192" s="237">
        <f t="shared" si="398"/>
        <v>0</v>
      </c>
      <c r="AH192" s="232"/>
      <c r="AI192" s="232"/>
      <c r="AJ192" s="232"/>
      <c r="AK192" s="236"/>
      <c r="AL192" s="234">
        <f t="shared" si="399"/>
        <v>403.638</v>
      </c>
      <c r="AM192" s="232"/>
      <c r="AN192" s="232">
        <f t="shared" si="400"/>
        <v>403.638</v>
      </c>
      <c r="AO192" s="232"/>
      <c r="AP192" s="235"/>
      <c r="AQ192" s="237">
        <f t="shared" si="402"/>
        <v>403.6</v>
      </c>
      <c r="AR192" s="232"/>
      <c r="AS192" s="232">
        <v>403.6</v>
      </c>
      <c r="AT192" s="232"/>
      <c r="AU192" s="232"/>
      <c r="AV192" s="237">
        <f t="shared" si="403"/>
        <v>403.638</v>
      </c>
      <c r="AW192" s="232"/>
      <c r="AX192" s="232">
        <f>AN192</f>
        <v>403.638</v>
      </c>
      <c r="AY192" s="232"/>
      <c r="AZ192" s="232"/>
      <c r="BA192" s="237">
        <f t="shared" si="404"/>
        <v>391.94617</v>
      </c>
      <c r="BB192" s="232"/>
      <c r="BC192" s="232">
        <v>391.94617</v>
      </c>
      <c r="BD192" s="232"/>
      <c r="BE192" s="232"/>
      <c r="BF192" s="237">
        <f t="shared" si="405"/>
        <v>391.94617</v>
      </c>
      <c r="BG192" s="232"/>
      <c r="BH192" s="232">
        <v>391.94617</v>
      </c>
      <c r="BI192" s="232"/>
      <c r="BJ192" s="232"/>
      <c r="BK192" s="232">
        <f t="shared" si="406"/>
        <v>795.58417</v>
      </c>
      <c r="BL192" s="232">
        <f t="shared" si="407"/>
        <v>0</v>
      </c>
      <c r="BM192" s="232">
        <f t="shared" si="408"/>
        <v>795.58417</v>
      </c>
      <c r="BN192" s="232">
        <f t="shared" si="409"/>
        <v>0</v>
      </c>
      <c r="BO192" s="232">
        <f t="shared" si="410"/>
        <v>0</v>
      </c>
      <c r="BP192" s="316">
        <f t="shared" si="411"/>
        <v>0</v>
      </c>
      <c r="BQ192" s="317">
        <f t="shared" si="412"/>
        <v>0</v>
      </c>
      <c r="BR192" s="317">
        <f t="shared" si="413"/>
        <v>0</v>
      </c>
      <c r="BS192" s="317">
        <f t="shared" si="414"/>
        <v>0</v>
      </c>
      <c r="BT192" s="317">
        <f t="shared" si="415"/>
        <v>0</v>
      </c>
      <c r="BU192" s="229">
        <v>1</v>
      </c>
      <c r="BV192" s="305"/>
      <c r="BW192" s="331" t="s">
        <v>228</v>
      </c>
      <c r="BY192" s="232"/>
      <c r="BZ192" s="232">
        <v>1</v>
      </c>
      <c r="CA192" s="317"/>
      <c r="CB192" s="232"/>
      <c r="CC192" s="232"/>
    </row>
    <row r="193" spans="1:81" s="229" customFormat="1" ht="15" customHeight="1" hidden="1">
      <c r="A193" s="230"/>
      <c r="B193" s="239" t="s">
        <v>208</v>
      </c>
      <c r="C193" s="232">
        <f t="shared" si="388"/>
        <v>0</v>
      </c>
      <c r="D193" s="233"/>
      <c r="E193" s="232">
        <f t="shared" si="389"/>
        <v>0</v>
      </c>
      <c r="F193" s="233"/>
      <c r="G193" s="232"/>
      <c r="H193" s="232">
        <f t="shared" si="390"/>
        <v>0</v>
      </c>
      <c r="I193" s="233"/>
      <c r="J193" s="232">
        <f t="shared" si="391"/>
        <v>0</v>
      </c>
      <c r="K193" s="232">
        <f t="shared" si="392"/>
        <v>0</v>
      </c>
      <c r="L193" s="239"/>
      <c r="M193" s="237"/>
      <c r="N193" s="237"/>
      <c r="O193" s="274"/>
      <c r="P193" s="275"/>
      <c r="Q193" s="277"/>
      <c r="R193" s="234"/>
      <c r="S193" s="237"/>
      <c r="T193" s="278"/>
      <c r="U193" s="279"/>
      <c r="V193" s="280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6"/>
      <c r="AL193" s="234"/>
      <c r="AM193" s="232"/>
      <c r="AN193" s="232"/>
      <c r="AO193" s="232"/>
      <c r="AP193" s="235"/>
      <c r="AQ193" s="232"/>
      <c r="AR193" s="232"/>
      <c r="AS193" s="232"/>
      <c r="AT193" s="232"/>
      <c r="AU193" s="232"/>
      <c r="AV193" s="232"/>
      <c r="AW193" s="232"/>
      <c r="AX193" s="232"/>
      <c r="AY193" s="232"/>
      <c r="AZ193" s="232"/>
      <c r="BA193" s="232"/>
      <c r="BB193" s="232"/>
      <c r="BC193" s="232"/>
      <c r="BD193" s="232"/>
      <c r="BE193" s="232"/>
      <c r="BF193" s="232"/>
      <c r="BG193" s="232"/>
      <c r="BH193" s="232"/>
      <c r="BI193" s="232"/>
      <c r="BJ193" s="232"/>
      <c r="BK193" s="232"/>
      <c r="BL193" s="232"/>
      <c r="BM193" s="232"/>
      <c r="BN193" s="232"/>
      <c r="BO193" s="232"/>
      <c r="BP193" s="316"/>
      <c r="BQ193" s="317"/>
      <c r="BR193" s="317"/>
      <c r="BS193" s="317"/>
      <c r="BT193" s="317"/>
      <c r="BV193" s="305"/>
      <c r="BW193" s="359"/>
      <c r="BY193" s="232"/>
      <c r="BZ193" s="232"/>
      <c r="CA193" s="317"/>
      <c r="CB193" s="232"/>
      <c r="CC193" s="232"/>
    </row>
    <row r="194" spans="1:81" s="229" customFormat="1" ht="15" customHeight="1">
      <c r="A194" s="230">
        <v>154</v>
      </c>
      <c r="B194" s="239" t="s">
        <v>209</v>
      </c>
      <c r="C194" s="232">
        <f t="shared" si="388"/>
        <v>808.401</v>
      </c>
      <c r="D194" s="233"/>
      <c r="E194" s="232">
        <f t="shared" si="389"/>
        <v>808.401</v>
      </c>
      <c r="F194" s="233"/>
      <c r="G194" s="232"/>
      <c r="H194" s="232">
        <f t="shared" si="390"/>
        <v>946.6175999999999</v>
      </c>
      <c r="I194" s="233"/>
      <c r="J194" s="232">
        <f t="shared" si="391"/>
        <v>808.401</v>
      </c>
      <c r="K194" s="232">
        <f t="shared" si="392"/>
        <v>138.2166</v>
      </c>
      <c r="L194" s="239"/>
      <c r="M194" s="237">
        <f t="shared" si="300"/>
        <v>808.401</v>
      </c>
      <c r="N194" s="237"/>
      <c r="O194" s="274">
        <v>808.401</v>
      </c>
      <c r="P194" s="275"/>
      <c r="Q194" s="277"/>
      <c r="R194" s="234">
        <f t="shared" si="393"/>
        <v>808.401</v>
      </c>
      <c r="S194" s="237"/>
      <c r="T194" s="274">
        <v>808.401</v>
      </c>
      <c r="U194" s="275"/>
      <c r="V194" s="276"/>
      <c r="W194" s="232">
        <f t="shared" si="394"/>
        <v>0</v>
      </c>
      <c r="X194" s="232">
        <f>N194-S194</f>
        <v>0</v>
      </c>
      <c r="Y194" s="232">
        <f>O194-T194</f>
        <v>0</v>
      </c>
      <c r="Z194" s="232">
        <f>P194-U194</f>
        <v>0</v>
      </c>
      <c r="AA194" s="232">
        <f>Q194-V194</f>
        <v>0</v>
      </c>
      <c r="AB194" s="232">
        <f t="shared" si="396"/>
        <v>808.401</v>
      </c>
      <c r="AC194" s="232"/>
      <c r="AD194" s="232">
        <f t="shared" si="397"/>
        <v>808.401</v>
      </c>
      <c r="AE194" s="232">
        <f t="shared" si="397"/>
        <v>0</v>
      </c>
      <c r="AF194" s="232">
        <f t="shared" si="397"/>
        <v>0</v>
      </c>
      <c r="AG194" s="232">
        <f t="shared" si="398"/>
        <v>0</v>
      </c>
      <c r="AH194" s="232"/>
      <c r="AI194" s="232"/>
      <c r="AJ194" s="232"/>
      <c r="AK194" s="236"/>
      <c r="AL194" s="234">
        <f t="shared" si="399"/>
        <v>808.401</v>
      </c>
      <c r="AM194" s="232"/>
      <c r="AN194" s="232">
        <f t="shared" si="400"/>
        <v>808.401</v>
      </c>
      <c r="AO194" s="232"/>
      <c r="AP194" s="235"/>
      <c r="AQ194" s="232">
        <f>AR194+AS194+AT194+AU194</f>
        <v>808.401</v>
      </c>
      <c r="AR194" s="232"/>
      <c r="AS194" s="232">
        <f>808.401</f>
        <v>808.401</v>
      </c>
      <c r="AT194" s="232"/>
      <c r="AU194" s="232"/>
      <c r="AV194" s="232">
        <f t="shared" si="403"/>
        <v>808.401</v>
      </c>
      <c r="AW194" s="232"/>
      <c r="AX194" s="232">
        <f>808.401</f>
        <v>808.401</v>
      </c>
      <c r="AY194" s="232"/>
      <c r="AZ194" s="232"/>
      <c r="BA194" s="232">
        <f>BB194+BC194+BD194+BE194</f>
        <v>138.2166</v>
      </c>
      <c r="BB194" s="232"/>
      <c r="BC194" s="232">
        <v>138.2166</v>
      </c>
      <c r="BD194" s="232"/>
      <c r="BE194" s="232"/>
      <c r="BF194" s="232">
        <f t="shared" si="405"/>
        <v>138.2166</v>
      </c>
      <c r="BG194" s="232"/>
      <c r="BH194" s="232">
        <v>138.2166</v>
      </c>
      <c r="BI194" s="232"/>
      <c r="BJ194" s="232"/>
      <c r="BK194" s="232">
        <f t="shared" si="406"/>
        <v>946.6175999999999</v>
      </c>
      <c r="BL194" s="232">
        <f>AW194+BG194</f>
        <v>0</v>
      </c>
      <c r="BM194" s="232">
        <f>AX194+BH194</f>
        <v>946.6175999999999</v>
      </c>
      <c r="BN194" s="232">
        <f>AY194+BI194</f>
        <v>0</v>
      </c>
      <c r="BO194" s="232">
        <f>AZ194+BJ194</f>
        <v>0</v>
      </c>
      <c r="BP194" s="316">
        <f t="shared" si="411"/>
        <v>0</v>
      </c>
      <c r="BQ194" s="317">
        <f>AM194-AW194</f>
        <v>0</v>
      </c>
      <c r="BR194" s="317">
        <f>AN194-AX194</f>
        <v>0</v>
      </c>
      <c r="BS194" s="317">
        <f>AO194-AY194</f>
        <v>0</v>
      </c>
      <c r="BT194" s="317">
        <f>AP194-AZ194</f>
        <v>0</v>
      </c>
      <c r="BU194" s="229">
        <v>1</v>
      </c>
      <c r="BV194" s="305"/>
      <c r="BW194" s="331" t="s">
        <v>228</v>
      </c>
      <c r="BY194" s="232"/>
      <c r="BZ194" s="232">
        <v>1</v>
      </c>
      <c r="CA194" s="317"/>
      <c r="CB194" s="232"/>
      <c r="CC194" s="232"/>
    </row>
    <row r="195" spans="1:81" s="357" customFormat="1" ht="21.75" customHeight="1">
      <c r="A195" s="350"/>
      <c r="B195" s="282" t="s">
        <v>210</v>
      </c>
      <c r="C195" s="283">
        <f>C6+C8+C11+C29+C44+C57+C71+C88+C94+C99+C110+C117+C133+C148+C150+C165+C173+C182</f>
        <v>676240.84</v>
      </c>
      <c r="D195" s="283">
        <f>D6+D8+D11+D29+D44+D57+D71+D88+D94+D99+D110+D117+D133+D148+D150+D165+D173+D182</f>
        <v>13375.6</v>
      </c>
      <c r="E195" s="283">
        <f>E6+E8+E11+E29+E44+E57+E71+E88+E94+E99+E110+E117+E133+E148+E150+E165+E173+E182</f>
        <v>660545.4399999998</v>
      </c>
      <c r="F195" s="283">
        <f>F6+F8+F11+F29+F44+F57+F71+F88+F94+F99+F110+F117+F133+F148+F150+F165+F173+F182</f>
        <v>2319.8</v>
      </c>
      <c r="G195" s="282"/>
      <c r="H195" s="283">
        <f>H6+H8+H11+H29+H44+H57+H71+H88+H94+H99+H110+H117+H133+H148+H150+H165+H173+H182</f>
        <v>645847.9184799999</v>
      </c>
      <c r="I195" s="283">
        <f>I6+I8+I11+I29+I44+I57+I71+I88+I94+I99+I110+I117+I133+I148+I150+I165+I173+I182</f>
        <v>5761.3</v>
      </c>
      <c r="J195" s="283">
        <f>J6+J8+J11+J29+J44+J57+J71+J88+J94+J99+J110+J117+J133+J148+J150+J165+J173+J182</f>
        <v>548195.5522299999</v>
      </c>
      <c r="K195" s="283">
        <f>K6+K8+K11+K29+K44+K57+K71+K88+K94+K99+K110+K117+K133+K148+K150+K165+K173+K182</f>
        <v>91891.06625</v>
      </c>
      <c r="L195" s="282"/>
      <c r="M195" s="283">
        <f>M6+M8+M11+M29+M44+M57+M71+M88+M94+M99+M110+M117+M133+M148+M150+M165+M173+M182</f>
        <v>660545.44</v>
      </c>
      <c r="N195" s="283">
        <f>N6+N8+N11+N29+N44+N57+N71+N88+N94+N99+N110+N117+N133+N148+N150+N165+N173+N182</f>
        <v>133504</v>
      </c>
      <c r="O195" s="283">
        <f>O6+O8+O11+O29+O44+O57+O71+O88+O94+O99+O110+O117+O133+O148+O150+O165+O173+O182</f>
        <v>302760.25899999996</v>
      </c>
      <c r="P195" s="283">
        <f>P6+P8+P11+P29+P44+P57+P71+P88+P94+P99+P110+P117+P133+P148+P150+P165+P173+P182</f>
        <v>154626.462</v>
      </c>
      <c r="Q195" s="283">
        <f>Q6+Q8+Q11+Q29+Q44+Q57+Q71+Q88+Q94+Q99+Q110+Q117+Q133+Q148+Q150+Q165+Q173+Q182</f>
        <v>69654.719</v>
      </c>
      <c r="R195" s="351">
        <f aca="true" t="shared" si="416" ref="R195:AP195">R6+R8+R11+R29+R44+R57+R71+R88+R94+R99+R110+R117+R133+R148+R150+R165+R173+R182</f>
        <v>647606.3826499999</v>
      </c>
      <c r="S195" s="352">
        <f t="shared" si="416"/>
        <v>126634.515</v>
      </c>
      <c r="T195" s="352">
        <f t="shared" si="416"/>
        <v>298726.67553999997</v>
      </c>
      <c r="U195" s="352">
        <f t="shared" si="416"/>
        <v>154333.85839999997</v>
      </c>
      <c r="V195" s="353">
        <f t="shared" si="416"/>
        <v>67911.33370999999</v>
      </c>
      <c r="W195" s="354">
        <f t="shared" si="416"/>
        <v>12939.05735</v>
      </c>
      <c r="X195" s="283">
        <f t="shared" si="416"/>
        <v>6869.484999999999</v>
      </c>
      <c r="Y195" s="283">
        <f t="shared" si="416"/>
        <v>4033.5834600000003</v>
      </c>
      <c r="Z195" s="283">
        <f t="shared" si="416"/>
        <v>292.6036000000022</v>
      </c>
      <c r="AA195" s="283">
        <f t="shared" si="416"/>
        <v>1743.3852900000006</v>
      </c>
      <c r="AB195" s="352">
        <f t="shared" si="416"/>
        <v>520981.9306499999</v>
      </c>
      <c r="AC195" s="352">
        <f t="shared" si="416"/>
        <v>0</v>
      </c>
      <c r="AD195" s="352">
        <f t="shared" si="416"/>
        <v>298727.7675399999</v>
      </c>
      <c r="AE195" s="352">
        <f t="shared" si="416"/>
        <v>154333.85839999997</v>
      </c>
      <c r="AF195" s="352">
        <f t="shared" si="416"/>
        <v>67920.30470999998</v>
      </c>
      <c r="AG195" s="352">
        <f t="shared" si="416"/>
        <v>2810.75944</v>
      </c>
      <c r="AH195" s="352">
        <f t="shared" si="416"/>
        <v>0</v>
      </c>
      <c r="AI195" s="352">
        <f t="shared" si="416"/>
        <v>1547.12846</v>
      </c>
      <c r="AJ195" s="352">
        <f t="shared" si="416"/>
        <v>0</v>
      </c>
      <c r="AK195" s="355">
        <f t="shared" si="416"/>
        <v>1263.63098</v>
      </c>
      <c r="AL195" s="351">
        <f t="shared" si="416"/>
        <v>548195.5522299999</v>
      </c>
      <c r="AM195" s="352">
        <f t="shared" si="416"/>
        <v>27223.68458</v>
      </c>
      <c r="AN195" s="352">
        <f t="shared" si="416"/>
        <v>298726.67553999997</v>
      </c>
      <c r="AO195" s="352">
        <f t="shared" si="416"/>
        <v>154333.85839999997</v>
      </c>
      <c r="AP195" s="353">
        <f t="shared" si="416"/>
        <v>67911.33370999999</v>
      </c>
      <c r="AQ195" s="352">
        <f aca="true" t="shared" si="417" ref="AQ195:BE195">AQ6+AQ8+AQ11+AQ29+AQ44+AQ57+AQ71+AQ88+AQ94+AQ99+AQ110+AQ117+AQ133+AQ148+AQ150+AQ165+AQ173+AQ182</f>
        <v>476038.29539000004</v>
      </c>
      <c r="AR195" s="352">
        <f t="shared" si="417"/>
        <v>27223.68458</v>
      </c>
      <c r="AS195" s="352">
        <f t="shared" si="417"/>
        <v>267381.37039</v>
      </c>
      <c r="AT195" s="352">
        <f t="shared" si="417"/>
        <v>121645.19439999998</v>
      </c>
      <c r="AU195" s="352">
        <f t="shared" si="417"/>
        <v>59788.046019999994</v>
      </c>
      <c r="AV195" s="352">
        <f t="shared" si="417"/>
        <v>475273.63639</v>
      </c>
      <c r="AW195" s="352">
        <f t="shared" si="417"/>
        <v>26458.93458</v>
      </c>
      <c r="AX195" s="352">
        <f t="shared" si="417"/>
        <v>267381.43039</v>
      </c>
      <c r="AY195" s="352">
        <f t="shared" si="417"/>
        <v>121645.24139999998</v>
      </c>
      <c r="AZ195" s="352">
        <f t="shared" si="417"/>
        <v>59788.03002</v>
      </c>
      <c r="BA195" s="352">
        <f t="shared" si="417"/>
        <v>92794.03346</v>
      </c>
      <c r="BB195" s="352">
        <f t="shared" si="417"/>
        <v>1992.2794400000002</v>
      </c>
      <c r="BC195" s="352">
        <f t="shared" si="417"/>
        <v>65791.37748</v>
      </c>
      <c r="BD195" s="352">
        <f t="shared" si="417"/>
        <v>9505.368550000001</v>
      </c>
      <c r="BE195" s="352">
        <f t="shared" si="417"/>
        <v>15505.00799</v>
      </c>
      <c r="BF195" s="352">
        <f aca="true" t="shared" si="418" ref="BF195:BT195">BF6+BF8+BF11+BF29+BF44+BF57+BF71+BF88+BF94+BF99+BF110+BF117+BF133+BF148+BF150+BF165+BF173+BF182</f>
        <v>91891.06625</v>
      </c>
      <c r="BG195" s="352">
        <f t="shared" si="418"/>
        <v>1992.2794400000002</v>
      </c>
      <c r="BH195" s="352">
        <f t="shared" si="418"/>
        <v>65466.965469999996</v>
      </c>
      <c r="BI195" s="352">
        <f t="shared" si="418"/>
        <v>8926.81335</v>
      </c>
      <c r="BJ195" s="352">
        <f t="shared" si="418"/>
        <v>15505.00799</v>
      </c>
      <c r="BK195" s="352">
        <f t="shared" si="418"/>
        <v>567164.70264</v>
      </c>
      <c r="BL195" s="352">
        <f t="shared" si="418"/>
        <v>28451.21402</v>
      </c>
      <c r="BM195" s="352">
        <f t="shared" si="418"/>
        <v>332848.39586000005</v>
      </c>
      <c r="BN195" s="352">
        <f t="shared" si="418"/>
        <v>130572.05475</v>
      </c>
      <c r="BO195" s="352">
        <f t="shared" si="418"/>
        <v>75293.03801</v>
      </c>
      <c r="BP195" s="356">
        <f t="shared" si="418"/>
        <v>72921.91584</v>
      </c>
      <c r="BQ195" s="356">
        <f t="shared" si="418"/>
        <v>764.75</v>
      </c>
      <c r="BR195" s="356">
        <f t="shared" si="418"/>
        <v>31345.245150000006</v>
      </c>
      <c r="BS195" s="356">
        <f t="shared" si="418"/>
        <v>32688.617</v>
      </c>
      <c r="BT195" s="356">
        <f t="shared" si="418"/>
        <v>8123.303689999998</v>
      </c>
      <c r="BU195" s="357">
        <f>SUM(BU7:BU194)</f>
        <v>127</v>
      </c>
      <c r="BV195" s="357">
        <f>SUM(BV7:BV194)</f>
        <v>27</v>
      </c>
      <c r="BW195" s="349" t="s">
        <v>303</v>
      </c>
      <c r="BY195" s="352">
        <f>BY6+BY8+BY11+BY29+BY44+BY57+BY71+BY88+BY94+BY99+BY110+BY117+BY133+BY148+BY150+BY165+BY173+BY182</f>
        <v>9954.2</v>
      </c>
      <c r="BZ195" s="352">
        <f>BZ6+BZ8+BZ11+BZ29+BZ44+BZ57+BZ71+BZ88+BZ94+BZ99+BZ110+BZ117+BZ133+BZ148+BZ150+BZ165+BZ173+BZ182</f>
        <v>129</v>
      </c>
      <c r="CA195" s="356">
        <f>CA6+CA8+CA11+CA29+CA44+CA57+CA71+CA88+CA94+CA99+CA110+CA117+CA133+CA148+CA150+CA165+CA173+CA182</f>
        <v>25</v>
      </c>
      <c r="CB195" s="352">
        <f>CB6+CB8+CB11+CB29+CB44+CB57+CB71+CB88+CB94+CB99+CB110+CB117+CB133+CB148+CB150+CB165+CB173+CB182</f>
        <v>0</v>
      </c>
      <c r="CC195" s="352">
        <f>CC6+CC8+CC11+CC29+CC44+CC57+CC71+CC88+CC94+CC99+CC110+CC117+CC133+CC148+CC150+CC165+CC173+CC182</f>
        <v>0</v>
      </c>
    </row>
    <row r="196" spans="1:81" s="229" customFormat="1" ht="15" customHeight="1" hidden="1">
      <c r="A196" s="388"/>
      <c r="B196" s="389"/>
      <c r="C196" s="255">
        <f>D196</f>
        <v>0</v>
      </c>
      <c r="D196" s="284"/>
      <c r="E196" s="255">
        <f>F196</f>
        <v>0</v>
      </c>
      <c r="F196" s="284"/>
      <c r="G196" s="284"/>
      <c r="H196" s="255">
        <f>I196</f>
        <v>0</v>
      </c>
      <c r="I196" s="284"/>
      <c r="J196" s="255">
        <f>K196</f>
        <v>0</v>
      </c>
      <c r="K196" s="255">
        <f>L196</f>
        <v>0</v>
      </c>
      <c r="L196" s="284"/>
      <c r="M196" s="255">
        <f>N196</f>
        <v>0</v>
      </c>
      <c r="N196" s="255"/>
      <c r="O196" s="255"/>
      <c r="P196" s="255"/>
      <c r="Q196" s="255"/>
      <c r="R196" s="285"/>
      <c r="S196" s="286"/>
      <c r="T196" s="286"/>
      <c r="U196" s="286"/>
      <c r="V196" s="287"/>
      <c r="W196" s="288"/>
      <c r="X196" s="232"/>
      <c r="Y196" s="232"/>
      <c r="Z196" s="232"/>
      <c r="AA196" s="232"/>
      <c r="AB196" s="286"/>
      <c r="AC196" s="286"/>
      <c r="AD196" s="286"/>
      <c r="AE196" s="286"/>
      <c r="AF196" s="286"/>
      <c r="AG196" s="286"/>
      <c r="AH196" s="286"/>
      <c r="AI196" s="286"/>
      <c r="AJ196" s="286"/>
      <c r="AK196" s="289"/>
      <c r="AL196" s="285"/>
      <c r="AM196" s="286"/>
      <c r="AN196" s="286"/>
      <c r="AO196" s="286"/>
      <c r="AP196" s="287"/>
      <c r="AQ196" s="288"/>
      <c r="AR196" s="286"/>
      <c r="AS196" s="286"/>
      <c r="AT196" s="286"/>
      <c r="AU196" s="286"/>
      <c r="AV196" s="286"/>
      <c r="AW196" s="286"/>
      <c r="AX196" s="286"/>
      <c r="AY196" s="286"/>
      <c r="AZ196" s="286"/>
      <c r="BA196" s="286"/>
      <c r="BB196" s="286"/>
      <c r="BC196" s="286"/>
      <c r="BD196" s="286"/>
      <c r="BE196" s="286"/>
      <c r="BF196" s="286"/>
      <c r="BG196" s="286"/>
      <c r="BH196" s="286"/>
      <c r="BI196" s="286"/>
      <c r="BJ196" s="286"/>
      <c r="BK196" s="232">
        <f>BL196+BM196+BN196+BO196</f>
        <v>0</v>
      </c>
      <c r="BL196" s="232">
        <f>AW196+BG196</f>
        <v>0</v>
      </c>
      <c r="BM196" s="232">
        <f>AX196+BH196</f>
        <v>0</v>
      </c>
      <c r="BN196" s="232">
        <f>AY196+BI196</f>
        <v>0</v>
      </c>
      <c r="BO196" s="232">
        <f>AZ196+BJ196</f>
        <v>0</v>
      </c>
      <c r="BP196" s="316">
        <f>BQ196+BR196+BS196+BT196</f>
        <v>0</v>
      </c>
      <c r="BQ196" s="317">
        <f>AM196-AW196</f>
        <v>0</v>
      </c>
      <c r="BR196" s="317">
        <f>AN196-AX196</f>
        <v>0</v>
      </c>
      <c r="BS196" s="317">
        <f>AO196-AY196</f>
        <v>0</v>
      </c>
      <c r="BT196" s="317">
        <f>AP196-AZ196</f>
        <v>0</v>
      </c>
      <c r="BV196" s="305"/>
      <c r="BW196" s="358"/>
      <c r="BY196" s="286"/>
      <c r="BZ196" s="286"/>
      <c r="CA196" s="343"/>
      <c r="CB196" s="286"/>
      <c r="CC196" s="286"/>
    </row>
    <row r="197" spans="1:81" s="229" customFormat="1" ht="15" customHeight="1" hidden="1">
      <c r="A197" s="281"/>
      <c r="B197" s="282" t="s">
        <v>211</v>
      </c>
      <c r="C197" s="283">
        <f>C195+C196</f>
        <v>676240.84</v>
      </c>
      <c r="D197" s="282"/>
      <c r="E197" s="283">
        <f>E195+E196</f>
        <v>660545.4399999998</v>
      </c>
      <c r="F197" s="282"/>
      <c r="G197" s="282"/>
      <c r="H197" s="283">
        <f>H195+H196</f>
        <v>645847.9184799999</v>
      </c>
      <c r="I197" s="282"/>
      <c r="J197" s="283">
        <f>J195+J196</f>
        <v>548195.5522299999</v>
      </c>
      <c r="K197" s="283">
        <f>K195+K196</f>
        <v>91891.06625</v>
      </c>
      <c r="L197" s="282"/>
      <c r="M197" s="283">
        <f>M195+M196</f>
        <v>660545.44</v>
      </c>
      <c r="N197" s="283">
        <f>N195+N196</f>
        <v>133504</v>
      </c>
      <c r="O197" s="283">
        <f>O195+O196</f>
        <v>302760.25899999996</v>
      </c>
      <c r="P197" s="283">
        <f>P195+P196</f>
        <v>154626.462</v>
      </c>
      <c r="Q197" s="283">
        <f>Q195+Q196</f>
        <v>69654.719</v>
      </c>
      <c r="R197" s="290">
        <f aca="true" t="shared" si="419" ref="R197:BT197">R195+R196</f>
        <v>647606.3826499999</v>
      </c>
      <c r="S197" s="283">
        <f t="shared" si="419"/>
        <v>126634.515</v>
      </c>
      <c r="T197" s="283">
        <f t="shared" si="419"/>
        <v>298726.67553999997</v>
      </c>
      <c r="U197" s="283">
        <f t="shared" si="419"/>
        <v>154333.85839999997</v>
      </c>
      <c r="V197" s="291">
        <f t="shared" si="419"/>
        <v>67911.33370999999</v>
      </c>
      <c r="W197" s="292">
        <f t="shared" si="419"/>
        <v>12939.05735</v>
      </c>
      <c r="X197" s="283">
        <f t="shared" si="419"/>
        <v>6869.484999999999</v>
      </c>
      <c r="Y197" s="283">
        <f t="shared" si="419"/>
        <v>4033.5834600000003</v>
      </c>
      <c r="Z197" s="283">
        <f t="shared" si="419"/>
        <v>292.6036000000022</v>
      </c>
      <c r="AA197" s="283">
        <f t="shared" si="419"/>
        <v>1743.3852900000006</v>
      </c>
      <c r="AB197" s="283">
        <f t="shared" si="419"/>
        <v>520981.9306499999</v>
      </c>
      <c r="AC197" s="283">
        <f t="shared" si="419"/>
        <v>0</v>
      </c>
      <c r="AD197" s="283">
        <f t="shared" si="419"/>
        <v>298727.7675399999</v>
      </c>
      <c r="AE197" s="283">
        <f t="shared" si="419"/>
        <v>154333.85839999997</v>
      </c>
      <c r="AF197" s="283">
        <f t="shared" si="419"/>
        <v>67920.30470999998</v>
      </c>
      <c r="AG197" s="283">
        <f t="shared" si="419"/>
        <v>2810.75944</v>
      </c>
      <c r="AH197" s="283">
        <f t="shared" si="419"/>
        <v>0</v>
      </c>
      <c r="AI197" s="283">
        <f t="shared" si="419"/>
        <v>1547.12846</v>
      </c>
      <c r="AJ197" s="283">
        <f t="shared" si="419"/>
        <v>0</v>
      </c>
      <c r="AK197" s="293">
        <f t="shared" si="419"/>
        <v>1263.63098</v>
      </c>
      <c r="AL197" s="290">
        <f t="shared" si="419"/>
        <v>548195.5522299999</v>
      </c>
      <c r="AM197" s="283">
        <f t="shared" si="419"/>
        <v>27223.68458</v>
      </c>
      <c r="AN197" s="283">
        <f t="shared" si="419"/>
        <v>298726.67553999997</v>
      </c>
      <c r="AO197" s="283">
        <f t="shared" si="419"/>
        <v>154333.85839999997</v>
      </c>
      <c r="AP197" s="291">
        <f t="shared" si="419"/>
        <v>67911.33370999999</v>
      </c>
      <c r="AQ197" s="292">
        <f t="shared" si="419"/>
        <v>476038.29539000004</v>
      </c>
      <c r="AR197" s="283">
        <f t="shared" si="419"/>
        <v>27223.68458</v>
      </c>
      <c r="AS197" s="283">
        <f t="shared" si="419"/>
        <v>267381.37039</v>
      </c>
      <c r="AT197" s="283">
        <f t="shared" si="419"/>
        <v>121645.19439999998</v>
      </c>
      <c r="AU197" s="283">
        <f t="shared" si="419"/>
        <v>59788.046019999994</v>
      </c>
      <c r="AV197" s="283">
        <f t="shared" si="419"/>
        <v>475273.63639</v>
      </c>
      <c r="AW197" s="283">
        <f t="shared" si="419"/>
        <v>26458.93458</v>
      </c>
      <c r="AX197" s="283">
        <f t="shared" si="419"/>
        <v>267381.43039</v>
      </c>
      <c r="AY197" s="283">
        <f t="shared" si="419"/>
        <v>121645.24139999998</v>
      </c>
      <c r="AZ197" s="283">
        <f t="shared" si="419"/>
        <v>59788.03002</v>
      </c>
      <c r="BA197" s="283">
        <f>BA195+BA196</f>
        <v>92794.03346</v>
      </c>
      <c r="BB197" s="283">
        <f>BB195+BB196</f>
        <v>1992.2794400000002</v>
      </c>
      <c r="BC197" s="283">
        <f>BC195+BC196</f>
        <v>65791.37748</v>
      </c>
      <c r="BD197" s="283">
        <f>BD195+BD196</f>
        <v>9505.368550000001</v>
      </c>
      <c r="BE197" s="283">
        <f>BE195+BE196</f>
        <v>15505.00799</v>
      </c>
      <c r="BF197" s="283">
        <f t="shared" si="419"/>
        <v>91891.06625</v>
      </c>
      <c r="BG197" s="283">
        <f t="shared" si="419"/>
        <v>1992.2794400000002</v>
      </c>
      <c r="BH197" s="283">
        <f t="shared" si="419"/>
        <v>65466.965469999996</v>
      </c>
      <c r="BI197" s="283">
        <f t="shared" si="419"/>
        <v>8926.81335</v>
      </c>
      <c r="BJ197" s="283">
        <f t="shared" si="419"/>
        <v>15505.00799</v>
      </c>
      <c r="BK197" s="283">
        <f t="shared" si="419"/>
        <v>567164.70264</v>
      </c>
      <c r="BL197" s="283">
        <f t="shared" si="419"/>
        <v>28451.21402</v>
      </c>
      <c r="BM197" s="283">
        <f t="shared" si="419"/>
        <v>332848.39586000005</v>
      </c>
      <c r="BN197" s="283">
        <f t="shared" si="419"/>
        <v>130572.05475</v>
      </c>
      <c r="BO197" s="283">
        <f t="shared" si="419"/>
        <v>75293.03801</v>
      </c>
      <c r="BP197" s="320">
        <f t="shared" si="419"/>
        <v>72921.91584</v>
      </c>
      <c r="BQ197" s="320">
        <f t="shared" si="419"/>
        <v>764.75</v>
      </c>
      <c r="BR197" s="320">
        <f t="shared" si="419"/>
        <v>31345.245150000006</v>
      </c>
      <c r="BS197" s="320">
        <f t="shared" si="419"/>
        <v>32688.617</v>
      </c>
      <c r="BT197" s="320">
        <f t="shared" si="419"/>
        <v>8123.303689999998</v>
      </c>
      <c r="BV197" s="305"/>
      <c r="BW197" s="282"/>
      <c r="BY197" s="283">
        <f>BY195+BY196</f>
        <v>9954.2</v>
      </c>
      <c r="BZ197" s="283">
        <f>BZ195+BZ196</f>
        <v>129</v>
      </c>
      <c r="CA197" s="320">
        <f>CA195+CA196</f>
        <v>25</v>
      </c>
      <c r="CB197" s="283">
        <f>CB195+CB196</f>
        <v>0</v>
      </c>
      <c r="CC197" s="283">
        <f>CC195+CC196</f>
        <v>0</v>
      </c>
    </row>
    <row r="198" spans="1:81" s="260" customFormat="1" ht="23.25" customHeight="1" hidden="1">
      <c r="A198" s="294" t="s">
        <v>42</v>
      </c>
      <c r="B198" s="268" t="s">
        <v>295</v>
      </c>
      <c r="C198" s="232"/>
      <c r="D198" s="232"/>
      <c r="E198" s="232"/>
      <c r="F198" s="233"/>
      <c r="G198" s="232"/>
      <c r="H198" s="232"/>
      <c r="I198" s="233"/>
      <c r="J198" s="232"/>
      <c r="K198" s="232"/>
      <c r="L198" s="268"/>
      <c r="M198" s="255">
        <f>N198</f>
        <v>13375.6</v>
      </c>
      <c r="N198" s="255">
        <v>13375.6</v>
      </c>
      <c r="O198" s="255"/>
      <c r="P198" s="255"/>
      <c r="Q198" s="255"/>
      <c r="R198" s="250">
        <f>S198</f>
        <v>13375.6</v>
      </c>
      <c r="S198" s="255">
        <v>13375.6</v>
      </c>
      <c r="T198" s="255"/>
      <c r="U198" s="255"/>
      <c r="V198" s="295"/>
      <c r="W198" s="232">
        <f>X198+Y198+Z198+AA198</f>
        <v>0</v>
      </c>
      <c r="X198" s="232">
        <f>N198-S198</f>
        <v>0</v>
      </c>
      <c r="Y198" s="232"/>
      <c r="Z198" s="232"/>
      <c r="AA198" s="232"/>
      <c r="AB198" s="255"/>
      <c r="AC198" s="255"/>
      <c r="AD198" s="255"/>
      <c r="AE198" s="255"/>
      <c r="AF198" s="255"/>
      <c r="AG198" s="255"/>
      <c r="AH198" s="255"/>
      <c r="AI198" s="255"/>
      <c r="AJ198" s="255"/>
      <c r="AK198" s="296"/>
      <c r="AL198" s="250">
        <f>AM198</f>
        <v>5761.25094</v>
      </c>
      <c r="AM198" s="255">
        <f>2568.15836+3193.09258</f>
        <v>5761.25094</v>
      </c>
      <c r="AN198" s="255"/>
      <c r="AO198" s="255"/>
      <c r="AP198" s="295"/>
      <c r="AQ198" s="255">
        <f>AR198</f>
        <v>5761.25094</v>
      </c>
      <c r="AR198" s="255">
        <f>2568.15836+3193.09258</f>
        <v>5761.25094</v>
      </c>
      <c r="AS198" s="255"/>
      <c r="AT198" s="255"/>
      <c r="AU198" s="255"/>
      <c r="AV198" s="255">
        <f>AW198</f>
        <v>5761.25094</v>
      </c>
      <c r="AW198" s="255">
        <f>2568.15836+3193.09258</f>
        <v>5761.25094</v>
      </c>
      <c r="AX198" s="255"/>
      <c r="AY198" s="255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32">
        <f>BL198+BM198+BN198+BO198</f>
        <v>5761.25094</v>
      </c>
      <c r="BL198" s="232">
        <f>AW198+BG198</f>
        <v>5761.25094</v>
      </c>
      <c r="BM198" s="232"/>
      <c r="BN198" s="232"/>
      <c r="BO198" s="232"/>
      <c r="BP198" s="316">
        <f>BQ198+BR198+BS198+BT198</f>
        <v>0</v>
      </c>
      <c r="BQ198" s="317">
        <v>0</v>
      </c>
      <c r="BR198" s="317"/>
      <c r="BS198" s="317"/>
      <c r="BT198" s="317"/>
      <c r="BV198" s="307"/>
      <c r="BW198" s="335"/>
      <c r="BY198" s="255"/>
      <c r="BZ198" s="255"/>
      <c r="CA198" s="318"/>
      <c r="CB198" s="255"/>
      <c r="CC198" s="255"/>
    </row>
    <row r="199" spans="1:81" s="229" customFormat="1" ht="26.25" customHeight="1" hidden="1">
      <c r="A199" s="281"/>
      <c r="B199" s="282" t="s">
        <v>211</v>
      </c>
      <c r="C199" s="283">
        <f>D199+E199+F199+G199</f>
        <v>660545.4399999998</v>
      </c>
      <c r="D199" s="283">
        <f>D197+D198</f>
        <v>0</v>
      </c>
      <c r="E199" s="283">
        <f>E197+E198</f>
        <v>660545.4399999998</v>
      </c>
      <c r="F199" s="283">
        <f>F197+F198</f>
        <v>0</v>
      </c>
      <c r="G199" s="282"/>
      <c r="H199" s="283">
        <f>I199+J199+K199+L199</f>
        <v>640086.61848</v>
      </c>
      <c r="I199" s="283">
        <f>I197+I198</f>
        <v>0</v>
      </c>
      <c r="J199" s="283">
        <f>J197+J198</f>
        <v>548195.5522299999</v>
      </c>
      <c r="K199" s="283">
        <f>K197+K198</f>
        <v>91891.06625</v>
      </c>
      <c r="L199" s="282"/>
      <c r="M199" s="283">
        <f>N199+O199+P199+Q199</f>
        <v>673921.04</v>
      </c>
      <c r="N199" s="283">
        <f>N197+N198</f>
        <v>146879.6</v>
      </c>
      <c r="O199" s="283">
        <f>O197+O198</f>
        <v>302760.25899999996</v>
      </c>
      <c r="P199" s="283">
        <f>P197+P198</f>
        <v>154626.462</v>
      </c>
      <c r="Q199" s="283">
        <f>Q197+Q198</f>
        <v>69654.719</v>
      </c>
      <c r="R199" s="290">
        <f>S199+T199+U199+V199</f>
        <v>660981.98265</v>
      </c>
      <c r="S199" s="283">
        <f>S197+S198</f>
        <v>140010.115</v>
      </c>
      <c r="T199" s="283">
        <f>T197+T198</f>
        <v>298726.67553999997</v>
      </c>
      <c r="U199" s="283">
        <f>U197+U198</f>
        <v>154333.85839999997</v>
      </c>
      <c r="V199" s="291">
        <f>V197+V198</f>
        <v>67911.33370999999</v>
      </c>
      <c r="W199" s="292">
        <f>X199+Y199+Z199+AA199</f>
        <v>12939.057350000001</v>
      </c>
      <c r="X199" s="283">
        <f>X197+X198</f>
        <v>6869.484999999999</v>
      </c>
      <c r="Y199" s="283">
        <f>Y197+Y198</f>
        <v>4033.5834600000003</v>
      </c>
      <c r="Z199" s="283">
        <f>Z197+Z198</f>
        <v>292.6036000000022</v>
      </c>
      <c r="AA199" s="283">
        <f>AA197+AA198</f>
        <v>1743.3852900000006</v>
      </c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93"/>
      <c r="AL199" s="290">
        <f>AM199+AN199+AO199+AP199</f>
        <v>553956.80317</v>
      </c>
      <c r="AM199" s="283">
        <f>AM197+AM198</f>
        <v>32984.93552</v>
      </c>
      <c r="AN199" s="283">
        <f>AN197+AN198</f>
        <v>298726.67553999997</v>
      </c>
      <c r="AO199" s="283">
        <f>AO197+AO198</f>
        <v>154333.85839999997</v>
      </c>
      <c r="AP199" s="291">
        <f>AP197+AP198</f>
        <v>67911.33370999999</v>
      </c>
      <c r="AQ199" s="283">
        <f>AR199+AS199+AT199+AU199</f>
        <v>481799.54633</v>
      </c>
      <c r="AR199" s="283">
        <f>AR197+AR198</f>
        <v>32984.93552</v>
      </c>
      <c r="AS199" s="283">
        <f>AS197+AS198</f>
        <v>267381.37039</v>
      </c>
      <c r="AT199" s="283">
        <f>AT197+AT198</f>
        <v>121645.19439999998</v>
      </c>
      <c r="AU199" s="283">
        <f>AU197+AU198</f>
        <v>59788.046019999994</v>
      </c>
      <c r="AV199" s="283">
        <f>AW199+AX199+AY199+AZ199</f>
        <v>481034.88733</v>
      </c>
      <c r="AW199" s="283">
        <f>AW197+AW198</f>
        <v>32220.18552</v>
      </c>
      <c r="AX199" s="283">
        <f>AX197+AX198</f>
        <v>267381.43039</v>
      </c>
      <c r="AY199" s="283">
        <f>AY197+AY198</f>
        <v>121645.24139999998</v>
      </c>
      <c r="AZ199" s="283">
        <f>AZ197+AZ198</f>
        <v>59788.03002</v>
      </c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>
        <f>BL199+BM199+BN199+BO199</f>
        <v>572925.9535800001</v>
      </c>
      <c r="BL199" s="283">
        <f>BL197+BL198</f>
        <v>34212.46496</v>
      </c>
      <c r="BM199" s="283">
        <f>BM197+BM198</f>
        <v>332848.39586000005</v>
      </c>
      <c r="BN199" s="283">
        <f>BN197+BN198</f>
        <v>130572.05475</v>
      </c>
      <c r="BO199" s="283">
        <f>BO197+BO198</f>
        <v>75293.03801</v>
      </c>
      <c r="BP199" s="320">
        <f>BQ199+BR199+BS199+BT199</f>
        <v>72921.91584</v>
      </c>
      <c r="BQ199" s="320">
        <f>BQ197+BQ198</f>
        <v>764.75</v>
      </c>
      <c r="BR199" s="320">
        <f>BR197+BR198</f>
        <v>31345.245150000006</v>
      </c>
      <c r="BS199" s="320">
        <f>BS197+BS198</f>
        <v>32688.617</v>
      </c>
      <c r="BT199" s="320">
        <f>BT197+BT198</f>
        <v>8123.303689999998</v>
      </c>
      <c r="BV199" s="305"/>
      <c r="BW199" s="349" t="s">
        <v>303</v>
      </c>
      <c r="BY199" s="283">
        <f>BY197+BY198</f>
        <v>9954.2</v>
      </c>
      <c r="BZ199" s="283">
        <f>BZ197+BZ198</f>
        <v>129</v>
      </c>
      <c r="CA199" s="320">
        <f>CA197+CA198</f>
        <v>25</v>
      </c>
      <c r="CB199" s="283">
        <f>CB197+CB198</f>
        <v>0</v>
      </c>
      <c r="CC199" s="283">
        <f>CC197+CC198</f>
        <v>0</v>
      </c>
    </row>
    <row r="200" spans="1:81" s="143" customFormat="1" ht="20.25" customHeight="1" hidden="1" thickBot="1">
      <c r="A200" s="148"/>
      <c r="B200" s="149" t="s">
        <v>220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50"/>
      <c r="N200" s="151"/>
      <c r="O200" s="152"/>
      <c r="P200" s="152"/>
      <c r="Q200" s="152"/>
      <c r="R200" s="153">
        <f>SUM(R199/M199)</f>
        <v>0.9808003362678809</v>
      </c>
      <c r="S200" s="154">
        <f>SUM(S199/N199)</f>
        <v>0.9532305030787119</v>
      </c>
      <c r="T200" s="154">
        <f>SUM(T195/O195)</f>
        <v>0.9866773021224031</v>
      </c>
      <c r="U200" s="154">
        <f>SUM(U195/P195)</f>
        <v>0.9981076744807106</v>
      </c>
      <c r="V200" s="155">
        <f>SUM(V195/Q195)</f>
        <v>0.9749710383585065</v>
      </c>
      <c r="W200" s="156"/>
      <c r="X200" s="154"/>
      <c r="Y200" s="154"/>
      <c r="Z200" s="154"/>
      <c r="AA200" s="154"/>
      <c r="AB200" s="154" t="e">
        <f>SUM(AB195/#REF!)</f>
        <v>#REF!</v>
      </c>
      <c r="AC200" s="154" t="e">
        <f>SUM(AC195/#REF!)</f>
        <v>#REF!</v>
      </c>
      <c r="AD200" s="154" t="e">
        <f>SUM(AD195/#REF!)</f>
        <v>#REF!</v>
      </c>
      <c r="AE200" s="154" t="e">
        <f>SUM(AE195/#REF!)</f>
        <v>#REF!</v>
      </c>
      <c r="AF200" s="154" t="e">
        <f>SUM(AF195/#REF!)</f>
        <v>#REF!</v>
      </c>
      <c r="AG200" s="154"/>
      <c r="AH200" s="154"/>
      <c r="AI200" s="154"/>
      <c r="AJ200" s="154"/>
      <c r="AK200" s="157"/>
      <c r="AL200" s="158">
        <f>SUM(AL199/M199)</f>
        <v>0.8219906640249723</v>
      </c>
      <c r="AM200" s="159">
        <f>SUM(AM199/N199)</f>
        <v>0.22457125101103215</v>
      </c>
      <c r="AN200" s="159">
        <f>SUM(AN195/O197)</f>
        <v>0.9866773021224031</v>
      </c>
      <c r="AO200" s="159">
        <f>SUM(AO195/P197)</f>
        <v>0.9981076744807106</v>
      </c>
      <c r="AP200" s="160">
        <f>SUM(AP195/Q197)</f>
        <v>0.9749710383585065</v>
      </c>
      <c r="AQ200" s="161">
        <f>SUM(AQ195/V195)</f>
        <v>7.009703231905503</v>
      </c>
      <c r="AR200" s="154">
        <f>SUM(AR195/W195)</f>
        <v>2.103992883221899</v>
      </c>
      <c r="AS200" s="154">
        <f>SUM(AS195/X195)</f>
        <v>38.923059063379576</v>
      </c>
      <c r="AT200" s="154">
        <f>SUM(AT195/Y195)</f>
        <v>30.15809530317738</v>
      </c>
      <c r="AU200" s="154">
        <f>SUM(AU195/Z195)</f>
        <v>204.3312044691164</v>
      </c>
      <c r="AV200" s="154">
        <f>SUM(AV195/R195)</f>
        <v>0.7338927612868549</v>
      </c>
      <c r="AW200" s="154">
        <f>SUM(AW195/S195)</f>
        <v>0.20893936048951584</v>
      </c>
      <c r="AX200" s="154">
        <f>SUM(AX195/T195)</f>
        <v>0.8950704851070362</v>
      </c>
      <c r="AY200" s="154">
        <f>SUM(AY195/U195)</f>
        <v>0.7881954268565089</v>
      </c>
      <c r="AZ200" s="154">
        <f>SUM(AZ195/V195)</f>
        <v>0.8803836819832058</v>
      </c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54"/>
      <c r="BP200" s="321"/>
      <c r="BQ200" s="321"/>
      <c r="BR200" s="321"/>
      <c r="BS200" s="321"/>
      <c r="BT200" s="321"/>
      <c r="BV200" s="303"/>
      <c r="BW200" s="336"/>
      <c r="BY200" s="154">
        <f>SUM(BY195/AP195)</f>
        <v>0.1465764174579042</v>
      </c>
      <c r="BZ200" s="154">
        <f>SUM(BZ195/AQ195)</f>
        <v>0.00027098660181176223</v>
      </c>
      <c r="CA200" s="321">
        <f>SUM(CA195/AR195)</f>
        <v>0.0009183180155696617</v>
      </c>
      <c r="CB200" s="154">
        <f>SUM(CB195/AS195)</f>
        <v>0</v>
      </c>
      <c r="CC200" s="154">
        <f>SUM(CC195/AT195)</f>
        <v>0</v>
      </c>
    </row>
    <row r="201" spans="1:81" s="143" customFormat="1" ht="20.25" customHeight="1" hidden="1">
      <c r="A201" s="162"/>
      <c r="B201" s="163" t="s">
        <v>212</v>
      </c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4"/>
      <c r="N201" s="147" t="e">
        <f>SUM(N12+N30+N72+N89+N100+N111+N118+#REF!)</f>
        <v>#REF!</v>
      </c>
      <c r="O201" s="165"/>
      <c r="P201" s="165"/>
      <c r="Q201" s="165"/>
      <c r="R201" s="166"/>
      <c r="S201" s="167"/>
      <c r="T201" s="167"/>
      <c r="U201" s="167"/>
      <c r="V201" s="168"/>
      <c r="W201" s="167"/>
      <c r="X201" s="167"/>
      <c r="Y201" s="167"/>
      <c r="Z201" s="167"/>
      <c r="AA201" s="167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322"/>
      <c r="BQ201" s="322"/>
      <c r="BR201" s="322"/>
      <c r="BS201" s="322"/>
      <c r="BT201" s="322"/>
      <c r="BV201" s="303"/>
      <c r="BW201" s="337"/>
      <c r="BY201" s="169"/>
      <c r="BZ201" s="169"/>
      <c r="CA201" s="322"/>
      <c r="CB201" s="169"/>
      <c r="CC201" s="169"/>
    </row>
    <row r="202" spans="1:81" s="143" customFormat="1" ht="20.25" customHeight="1" hidden="1">
      <c r="A202" s="162"/>
      <c r="B202" s="163" t="s">
        <v>213</v>
      </c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4"/>
      <c r="N202" s="147">
        <f>M7</f>
        <v>2172.257</v>
      </c>
      <c r="O202" s="165"/>
      <c r="P202" s="165"/>
      <c r="Q202" s="165"/>
      <c r="R202" s="166"/>
      <c r="S202" s="167"/>
      <c r="T202" s="167"/>
      <c r="U202" s="167"/>
      <c r="V202" s="168"/>
      <c r="W202" s="167"/>
      <c r="X202" s="167"/>
      <c r="Y202" s="167"/>
      <c r="Z202" s="167"/>
      <c r="AA202" s="167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322"/>
      <c r="BQ202" s="322"/>
      <c r="BR202" s="322"/>
      <c r="BS202" s="322"/>
      <c r="BT202" s="322"/>
      <c r="BV202" s="303"/>
      <c r="BW202" s="337"/>
      <c r="BY202" s="169"/>
      <c r="BZ202" s="169"/>
      <c r="CA202" s="322"/>
      <c r="CB202" s="169"/>
      <c r="CC202" s="169"/>
    </row>
    <row r="203" spans="1:81" s="143" customFormat="1" ht="20.25" customHeight="1" hidden="1">
      <c r="A203" s="162"/>
      <c r="B203" s="163" t="s">
        <v>214</v>
      </c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4"/>
      <c r="N203" s="147" t="e">
        <f>N195-N201-N202</f>
        <v>#REF!</v>
      </c>
      <c r="O203" s="165"/>
      <c r="P203" s="165"/>
      <c r="Q203" s="165"/>
      <c r="R203" s="166"/>
      <c r="S203" s="167"/>
      <c r="T203" s="167"/>
      <c r="U203" s="167"/>
      <c r="V203" s="168"/>
      <c r="W203" s="167"/>
      <c r="X203" s="167"/>
      <c r="Y203" s="167"/>
      <c r="Z203" s="167"/>
      <c r="AA203" s="167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322"/>
      <c r="BQ203" s="322"/>
      <c r="BR203" s="322"/>
      <c r="BS203" s="322"/>
      <c r="BT203" s="322"/>
      <c r="BV203" s="303"/>
      <c r="BW203" s="337"/>
      <c r="BY203" s="169"/>
      <c r="BZ203" s="169"/>
      <c r="CA203" s="322"/>
      <c r="CB203" s="169"/>
      <c r="CC203" s="169"/>
    </row>
    <row r="204" spans="1:81" s="143" customFormat="1" ht="20.25" customHeight="1" hidden="1">
      <c r="A204" s="162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64"/>
      <c r="N204" s="171"/>
      <c r="O204" s="165"/>
      <c r="P204" s="165"/>
      <c r="Q204" s="165"/>
      <c r="R204" s="172">
        <f>SUM(R199/M199)</f>
        <v>0.9808003362678809</v>
      </c>
      <c r="S204" s="154">
        <f>SUM(S199/N199)</f>
        <v>0.9532305030787119</v>
      </c>
      <c r="T204" s="167"/>
      <c r="U204" s="167"/>
      <c r="V204" s="168"/>
      <c r="W204" s="173">
        <f>X204+Y204+Z204+AA204</f>
        <v>12939.057350000001</v>
      </c>
      <c r="X204" s="174">
        <f>X197+X200</f>
        <v>6869.484999999999</v>
      </c>
      <c r="Y204" s="174">
        <f>Y197+Y200</f>
        <v>4033.5834600000003</v>
      </c>
      <c r="Z204" s="174">
        <f>Z197+Z200</f>
        <v>292.6036000000022</v>
      </c>
      <c r="AA204" s="174">
        <f>AA197+AA200</f>
        <v>1743.3852900000006</v>
      </c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54">
        <f>SUM(AL199/M199)</f>
        <v>0.8219906640249723</v>
      </c>
      <c r="AM204" s="154">
        <f>SUM(AM199/N199)</f>
        <v>0.22457125101103215</v>
      </c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322"/>
      <c r="BQ204" s="322"/>
      <c r="BR204" s="322"/>
      <c r="BS204" s="322"/>
      <c r="BT204" s="322"/>
      <c r="BV204" s="303"/>
      <c r="BW204" s="338"/>
      <c r="BY204" s="169"/>
      <c r="BZ204" s="169"/>
      <c r="CA204" s="322"/>
      <c r="CB204" s="169"/>
      <c r="CC204" s="169"/>
    </row>
    <row r="205" spans="1:81" s="143" customFormat="1" ht="18" customHeight="1" hidden="1" thickBot="1">
      <c r="A205" s="162"/>
      <c r="B205" s="175" t="s">
        <v>215</v>
      </c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7"/>
      <c r="N205" s="178"/>
      <c r="O205" s="179"/>
      <c r="P205" s="179"/>
      <c r="Q205" s="180"/>
      <c r="R205" s="181">
        <f>S205+T205+U205+V205</f>
        <v>12939.057350000001</v>
      </c>
      <c r="S205" s="182">
        <f>X197</f>
        <v>6869.484999999999</v>
      </c>
      <c r="T205" s="182">
        <f>Y197</f>
        <v>4033.5834600000003</v>
      </c>
      <c r="U205" s="182">
        <f>Z197</f>
        <v>292.6036000000022</v>
      </c>
      <c r="V205" s="183">
        <f>AA197</f>
        <v>1743.3852900000006</v>
      </c>
      <c r="W205" s="164"/>
      <c r="X205" s="164"/>
      <c r="Y205" s="164"/>
      <c r="Z205" s="164"/>
      <c r="AA205" s="16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184"/>
      <c r="BN205" s="184"/>
      <c r="BO205" s="184"/>
      <c r="BP205" s="323"/>
      <c r="BQ205" s="323"/>
      <c r="BR205" s="323"/>
      <c r="BS205" s="323"/>
      <c r="BT205" s="323"/>
      <c r="BV205" s="303"/>
      <c r="BW205" s="339"/>
      <c r="BY205" s="184"/>
      <c r="BZ205" s="184"/>
      <c r="CA205" s="323"/>
      <c r="CB205" s="184"/>
      <c r="CC205" s="184"/>
    </row>
    <row r="206" spans="1:81" s="143" customFormat="1" ht="29.25" customHeight="1" hidden="1">
      <c r="A206" s="162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64"/>
      <c r="N206" s="171"/>
      <c r="O206" s="165"/>
      <c r="P206" s="165"/>
      <c r="Q206" s="165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5"/>
      <c r="BB206" s="185"/>
      <c r="BC206" s="185"/>
      <c r="BD206" s="185"/>
      <c r="BE206" s="185"/>
      <c r="BF206" s="185"/>
      <c r="BG206" s="185"/>
      <c r="BH206" s="185"/>
      <c r="BI206" s="185"/>
      <c r="BJ206" s="185"/>
      <c r="BK206" s="185"/>
      <c r="BL206" s="185"/>
      <c r="BM206" s="185"/>
      <c r="BN206" s="185"/>
      <c r="BO206" s="185"/>
      <c r="BP206" s="324">
        <f>BQ206+BR206+BS206+BT206</f>
        <v>179947.09532</v>
      </c>
      <c r="BQ206" s="324">
        <f>S199-AM199+BQ199</f>
        <v>107789.92947999999</v>
      </c>
      <c r="BR206" s="324">
        <f>BR199</f>
        <v>31345.245150000006</v>
      </c>
      <c r="BS206" s="324">
        <f>BS199</f>
        <v>32688.617</v>
      </c>
      <c r="BT206" s="324">
        <f>BT199</f>
        <v>8123.303689999998</v>
      </c>
      <c r="BV206" s="303"/>
      <c r="BW206" s="338"/>
      <c r="BY206" s="184"/>
      <c r="BZ206" s="184"/>
      <c r="CA206" s="323"/>
      <c r="CB206" s="184"/>
      <c r="CC206" s="184"/>
    </row>
    <row r="207" spans="1:81" s="143" customFormat="1" ht="20.25" customHeight="1" hidden="1">
      <c r="A207" s="162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64"/>
      <c r="N207" s="171"/>
      <c r="O207" s="165"/>
      <c r="P207" s="165"/>
      <c r="Q207" s="165"/>
      <c r="R207" s="164"/>
      <c r="S207" s="164"/>
      <c r="T207" s="164"/>
      <c r="U207" s="164"/>
      <c r="V207" s="164"/>
      <c r="W207" s="147">
        <f>X207+Y207+Z207+AA207</f>
        <v>12939.057350000046</v>
      </c>
      <c r="X207" s="164">
        <f>N199-S199</f>
        <v>6869.485000000015</v>
      </c>
      <c r="Y207" s="164">
        <f>O199-T199</f>
        <v>4033.5834599999944</v>
      </c>
      <c r="Z207" s="164">
        <f>P199-U199</f>
        <v>292.6036000000313</v>
      </c>
      <c r="AA207" s="164">
        <f>Q199-V199</f>
        <v>1743.3852900000056</v>
      </c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  <c r="BN207" s="184"/>
      <c r="BO207" s="184"/>
      <c r="BP207" s="321">
        <f>SUM(BP206/R199)</f>
        <v>0.2722420580944711</v>
      </c>
      <c r="BQ207" s="321">
        <f>SUM(BQ206/S199)</f>
        <v>0.7698724444301757</v>
      </c>
      <c r="BR207" s="321">
        <f>SUM(BR206/T199)</f>
        <v>0.10492951489296384</v>
      </c>
      <c r="BS207" s="321">
        <f>SUM(BS206/U199)</f>
        <v>0.21180457314349113</v>
      </c>
      <c r="BT207" s="321">
        <f>SUM(BT206/V199)</f>
        <v>0.11961631801679423</v>
      </c>
      <c r="BV207" s="303"/>
      <c r="BW207" s="338"/>
      <c r="BY207" s="184"/>
      <c r="BZ207" s="184"/>
      <c r="CA207" s="323"/>
      <c r="CB207" s="184"/>
      <c r="CC207" s="184"/>
    </row>
    <row r="208" spans="1:81" s="143" customFormat="1" ht="20.25" customHeight="1">
      <c r="A208" s="162"/>
      <c r="B208" s="170" t="s">
        <v>216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64"/>
      <c r="N208" s="171"/>
      <c r="O208" s="165"/>
      <c r="P208" s="165"/>
      <c r="Q208" s="165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4"/>
      <c r="BN208" s="184"/>
      <c r="BO208" s="184"/>
      <c r="BP208" s="325"/>
      <c r="BQ208" s="325"/>
      <c r="BR208" s="325"/>
      <c r="BS208" s="325"/>
      <c r="BT208" s="325"/>
      <c r="BV208" s="303"/>
      <c r="BW208" s="338"/>
      <c r="BY208" s="184"/>
      <c r="BZ208" s="184"/>
      <c r="CA208" s="323"/>
      <c r="CB208" s="184"/>
      <c r="CC208" s="184"/>
    </row>
    <row r="209" spans="1:81" s="143" customFormat="1" ht="54" customHeight="1">
      <c r="A209" s="162"/>
      <c r="B209" s="376" t="s">
        <v>300</v>
      </c>
      <c r="C209" s="376"/>
      <c r="D209" s="376"/>
      <c r="E209" s="376"/>
      <c r="F209" s="376"/>
      <c r="G209" s="376"/>
      <c r="H209" s="376"/>
      <c r="I209" s="376"/>
      <c r="J209" s="376"/>
      <c r="K209" s="376"/>
      <c r="L209" s="376"/>
      <c r="M209" s="376"/>
      <c r="N209" s="376"/>
      <c r="O209" s="376"/>
      <c r="P209" s="376"/>
      <c r="Q209" s="376"/>
      <c r="R209" s="376"/>
      <c r="S209" s="376"/>
      <c r="T209" s="376"/>
      <c r="U209" s="376"/>
      <c r="V209" s="376"/>
      <c r="W209" s="376"/>
      <c r="X209" s="376"/>
      <c r="Y209" s="376"/>
      <c r="Z209" s="376"/>
      <c r="AA209" s="376"/>
      <c r="AB209" s="376"/>
      <c r="AC209" s="376"/>
      <c r="AD209" s="376"/>
      <c r="AE209" s="376"/>
      <c r="AF209" s="376"/>
      <c r="AG209" s="376"/>
      <c r="AH209" s="376"/>
      <c r="AI209" s="376"/>
      <c r="AJ209" s="376"/>
      <c r="AK209" s="376"/>
      <c r="AL209" s="376"/>
      <c r="AM209" s="376"/>
      <c r="AN209" s="376"/>
      <c r="AO209" s="376"/>
      <c r="AP209" s="376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4"/>
      <c r="BN209" s="184"/>
      <c r="BO209" s="184"/>
      <c r="BP209" s="325"/>
      <c r="BQ209" s="325"/>
      <c r="BR209" s="325"/>
      <c r="BS209" s="325"/>
      <c r="BT209" s="325"/>
      <c r="BV209" s="303"/>
      <c r="BW209" s="338"/>
      <c r="BY209" s="184"/>
      <c r="BZ209" s="184"/>
      <c r="CA209" s="323"/>
      <c r="CB209" s="184"/>
      <c r="CC209" s="184"/>
    </row>
    <row r="210" spans="1:81" s="143" customFormat="1" ht="12.75" customHeight="1">
      <c r="A210" s="162"/>
      <c r="B210" s="170" t="s">
        <v>296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64"/>
      <c r="N210" s="171"/>
      <c r="O210" s="165"/>
      <c r="P210" s="165"/>
      <c r="Q210" s="165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  <c r="BN210" s="184"/>
      <c r="BO210" s="184"/>
      <c r="BP210" s="325"/>
      <c r="BQ210" s="325"/>
      <c r="BR210" s="325"/>
      <c r="BS210" s="325"/>
      <c r="BT210" s="325"/>
      <c r="BV210" s="303"/>
      <c r="BW210" s="338"/>
      <c r="BY210" s="184"/>
      <c r="BZ210" s="184"/>
      <c r="CA210" s="323"/>
      <c r="CB210" s="184"/>
      <c r="CC210" s="184"/>
    </row>
    <row r="211" spans="1:81" s="143" customFormat="1" ht="12.75" customHeight="1">
      <c r="A211" s="162"/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64"/>
      <c r="N211" s="171"/>
      <c r="O211" s="165"/>
      <c r="P211" s="165"/>
      <c r="Q211" s="165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4"/>
      <c r="BN211" s="184"/>
      <c r="BO211" s="184"/>
      <c r="BP211" s="325"/>
      <c r="BQ211" s="325"/>
      <c r="BR211" s="325"/>
      <c r="BS211" s="325"/>
      <c r="BT211" s="325"/>
      <c r="BV211" s="303"/>
      <c r="BW211" s="338"/>
      <c r="BY211" s="184"/>
      <c r="BZ211" s="184"/>
      <c r="CA211" s="323"/>
      <c r="CB211" s="184"/>
      <c r="CC211" s="184"/>
    </row>
    <row r="212" spans="1:81" s="143" customFormat="1" ht="28.5" customHeight="1">
      <c r="A212" s="162"/>
      <c r="B212" s="399" t="s">
        <v>40</v>
      </c>
      <c r="C212" s="399"/>
      <c r="D212" s="399"/>
      <c r="E212" s="399"/>
      <c r="F212" s="399"/>
      <c r="G212" s="186"/>
      <c r="H212" s="186"/>
      <c r="I212" s="186"/>
      <c r="J212" s="186"/>
      <c r="K212" s="399" t="s">
        <v>41</v>
      </c>
      <c r="L212" s="399"/>
      <c r="M212" s="399"/>
      <c r="N212" s="399"/>
      <c r="O212" s="399"/>
      <c r="P212" s="165"/>
      <c r="Q212" s="165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6" t="s">
        <v>41</v>
      </c>
      <c r="AO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325"/>
      <c r="BQ212" s="325"/>
      <c r="BR212" s="325"/>
      <c r="BS212" s="325"/>
      <c r="BT212" s="325"/>
      <c r="BV212" s="303"/>
      <c r="BW212" s="165"/>
      <c r="BY212" s="184"/>
      <c r="BZ212" s="184"/>
      <c r="CA212" s="323"/>
      <c r="CB212" s="184"/>
      <c r="CC212" s="184"/>
    </row>
    <row r="213" spans="1:81" s="143" customFormat="1" ht="27.75" customHeight="1">
      <c r="A213" s="162"/>
      <c r="B213" s="362"/>
      <c r="C213" s="362"/>
      <c r="D213" s="362"/>
      <c r="E213" s="362"/>
      <c r="F213" s="362"/>
      <c r="G213" s="362"/>
      <c r="H213" s="362"/>
      <c r="I213" s="362"/>
      <c r="J213" s="362"/>
      <c r="K213" s="360"/>
      <c r="L213" s="360"/>
      <c r="M213" s="361"/>
      <c r="N213" s="361"/>
      <c r="O213" s="361"/>
      <c r="P213" s="361"/>
      <c r="Q213" s="361"/>
      <c r="R213" s="361"/>
      <c r="S213" s="398" t="s">
        <v>41</v>
      </c>
      <c r="T213" s="398"/>
      <c r="U213" s="398"/>
      <c r="V213" s="398"/>
      <c r="W213" s="398"/>
      <c r="X213" s="398"/>
      <c r="Y213" s="164"/>
      <c r="Z213" s="164"/>
      <c r="AA213" s="16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325"/>
      <c r="BQ213" s="325"/>
      <c r="BR213" s="325"/>
      <c r="BS213" s="325"/>
      <c r="BT213" s="325"/>
      <c r="BV213" s="303"/>
      <c r="BW213" s="338"/>
      <c r="BY213" s="184"/>
      <c r="BZ213" s="184"/>
      <c r="CA213" s="323"/>
      <c r="CB213" s="184"/>
      <c r="CC213" s="184"/>
    </row>
    <row r="214" spans="2:75" ht="43.5" customHeight="1">
      <c r="B214" s="376"/>
      <c r="C214" s="376"/>
      <c r="D214" s="376"/>
      <c r="E214" s="376"/>
      <c r="F214" s="376"/>
      <c r="G214" s="376"/>
      <c r="H214" s="376"/>
      <c r="I214" s="376"/>
      <c r="J214" s="376"/>
      <c r="K214" s="376"/>
      <c r="L214" s="376"/>
      <c r="M214" s="376"/>
      <c r="N214" s="376"/>
      <c r="O214" s="376"/>
      <c r="P214" s="376"/>
      <c r="Q214" s="376"/>
      <c r="R214" s="376"/>
      <c r="S214" s="376"/>
      <c r="T214" s="376"/>
      <c r="U214" s="376"/>
      <c r="V214" s="376"/>
      <c r="W214" s="376"/>
      <c r="X214" s="376"/>
      <c r="Y214" s="376"/>
      <c r="Z214" s="376"/>
      <c r="AA214" s="376"/>
      <c r="AB214" s="376"/>
      <c r="AC214" s="376"/>
      <c r="AD214" s="376"/>
      <c r="AE214" s="376"/>
      <c r="AF214" s="376"/>
      <c r="AG214" s="376"/>
      <c r="AH214" s="376"/>
      <c r="AI214" s="376"/>
      <c r="AJ214" s="376"/>
      <c r="AK214" s="376"/>
      <c r="AL214" s="376"/>
      <c r="AM214" s="376"/>
      <c r="AN214" s="376"/>
      <c r="AO214" s="376"/>
      <c r="AP214" s="376"/>
      <c r="AQ214" s="376"/>
      <c r="AR214" s="376"/>
      <c r="AS214" s="376"/>
      <c r="AT214" s="376"/>
      <c r="AU214" s="376"/>
      <c r="AV214" s="376"/>
      <c r="AW214" s="376"/>
      <c r="AX214" s="376"/>
      <c r="AY214" s="376"/>
      <c r="AZ214" s="376"/>
      <c r="BA214" s="376"/>
      <c r="BB214" s="376"/>
      <c r="BC214" s="376"/>
      <c r="BD214" s="376"/>
      <c r="BE214" s="376"/>
      <c r="BF214" s="376"/>
      <c r="BG214" s="376"/>
      <c r="BH214" s="376"/>
      <c r="BI214" s="376"/>
      <c r="BJ214" s="376"/>
      <c r="BK214" s="376"/>
      <c r="BL214" s="376"/>
      <c r="BM214" s="376"/>
      <c r="BN214" s="376"/>
      <c r="BO214" s="376"/>
      <c r="BP214" s="376"/>
      <c r="BQ214" s="376"/>
      <c r="BR214" s="376"/>
      <c r="BS214" s="376"/>
      <c r="BT214" s="376"/>
      <c r="BU214" s="376"/>
      <c r="BV214" s="376"/>
      <c r="BW214" s="376"/>
    </row>
    <row r="215" spans="1:81" ht="24" customHeight="1">
      <c r="A215" s="379"/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379"/>
      <c r="N215" s="379"/>
      <c r="O215" s="379"/>
      <c r="P215" s="379"/>
      <c r="Q215" s="379"/>
      <c r="R215" s="379"/>
      <c r="S215" s="379"/>
      <c r="T215" s="379"/>
      <c r="U215" s="379"/>
      <c r="V215" s="379"/>
      <c r="W215" s="379"/>
      <c r="X215" s="379"/>
      <c r="Y215" s="379"/>
      <c r="Z215" s="379"/>
      <c r="AA215" s="379"/>
      <c r="AB215" s="379"/>
      <c r="AC215" s="379"/>
      <c r="AD215" s="379"/>
      <c r="AE215" s="379"/>
      <c r="AF215" s="379"/>
      <c r="AG215" s="379"/>
      <c r="AH215" s="379"/>
      <c r="AI215" s="379"/>
      <c r="AJ215" s="379"/>
      <c r="AK215" s="379"/>
      <c r="AL215" s="379"/>
      <c r="AM215" s="379"/>
      <c r="AN215" s="379"/>
      <c r="AO215" s="379"/>
      <c r="AP215" s="379"/>
      <c r="AQ215" s="379"/>
      <c r="AR215" s="379"/>
      <c r="AS215" s="379"/>
      <c r="AT215" s="379"/>
      <c r="AU215" s="379"/>
      <c r="AV215" s="379"/>
      <c r="AW215" s="379"/>
      <c r="AX215" s="379"/>
      <c r="AY215" s="379"/>
      <c r="AZ215" s="379"/>
      <c r="BA215" s="379"/>
      <c r="BB215" s="379"/>
      <c r="BC215" s="379"/>
      <c r="BD215" s="379"/>
      <c r="BE215" s="379"/>
      <c r="BF215" s="379"/>
      <c r="BG215" s="379"/>
      <c r="BH215" s="379"/>
      <c r="BI215" s="379"/>
      <c r="BW215" s="340"/>
      <c r="BY215" s="191"/>
      <c r="BZ215" s="191"/>
      <c r="CA215" s="308"/>
      <c r="CB215" s="191"/>
      <c r="CC215" s="191"/>
    </row>
    <row r="216" spans="1:81" ht="18" customHeight="1">
      <c r="A216" s="192"/>
      <c r="B216" s="193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193"/>
      <c r="AU216" s="193"/>
      <c r="AV216" s="193"/>
      <c r="AW216" s="193"/>
      <c r="AX216" s="193"/>
      <c r="AY216" s="193"/>
      <c r="AZ216" s="193"/>
      <c r="BA216" s="193"/>
      <c r="BB216" s="381"/>
      <c r="BC216" s="381"/>
      <c r="BD216" s="381"/>
      <c r="BF216" s="193"/>
      <c r="BG216" s="381"/>
      <c r="BH216" s="381"/>
      <c r="BI216" s="381"/>
      <c r="BW216" s="193"/>
      <c r="BY216" s="193"/>
      <c r="BZ216" s="193"/>
      <c r="CA216" s="345"/>
      <c r="CB216" s="193"/>
      <c r="CC216" s="193"/>
    </row>
    <row r="217" spans="1:81" ht="47.25" customHeight="1">
      <c r="A217" s="380"/>
      <c r="B217" s="377"/>
      <c r="C217" s="377"/>
      <c r="D217" s="377"/>
      <c r="E217" s="377"/>
      <c r="F217" s="377"/>
      <c r="G217" s="377"/>
      <c r="H217" s="377"/>
      <c r="I217" s="377"/>
      <c r="J217" s="377"/>
      <c r="K217" s="377"/>
      <c r="L217" s="377"/>
      <c r="M217" s="377"/>
      <c r="N217" s="377"/>
      <c r="O217" s="377"/>
      <c r="P217" s="377"/>
      <c r="Q217" s="377"/>
      <c r="R217" s="377"/>
      <c r="S217" s="377"/>
      <c r="T217" s="377"/>
      <c r="U217" s="377"/>
      <c r="V217" s="377"/>
      <c r="W217" s="377"/>
      <c r="X217" s="377"/>
      <c r="Y217" s="377"/>
      <c r="Z217" s="377"/>
      <c r="AA217" s="377"/>
      <c r="AB217" s="377"/>
      <c r="AC217" s="377"/>
      <c r="AD217" s="377"/>
      <c r="AE217" s="377"/>
      <c r="AF217" s="377"/>
      <c r="AG217" s="377"/>
      <c r="AH217" s="377"/>
      <c r="AI217" s="377"/>
      <c r="AJ217" s="377"/>
      <c r="AK217" s="377"/>
      <c r="AL217" s="377"/>
      <c r="AM217" s="377"/>
      <c r="AN217" s="377"/>
      <c r="AO217" s="377"/>
      <c r="AP217" s="377"/>
      <c r="AQ217" s="377"/>
      <c r="AR217" s="377"/>
      <c r="AS217" s="377"/>
      <c r="AT217" s="377"/>
      <c r="AU217" s="378"/>
      <c r="AV217" s="377"/>
      <c r="AW217" s="377"/>
      <c r="AX217" s="377"/>
      <c r="AY217" s="377"/>
      <c r="AZ217" s="377"/>
      <c r="BA217" s="377"/>
      <c r="BB217" s="377"/>
      <c r="BC217" s="377"/>
      <c r="BD217" s="377"/>
      <c r="BE217" s="377"/>
      <c r="BF217" s="377"/>
      <c r="BG217" s="377"/>
      <c r="BH217" s="377"/>
      <c r="BI217" s="377"/>
      <c r="BW217" s="340"/>
      <c r="BY217" s="191"/>
      <c r="BZ217" s="191"/>
      <c r="CA217" s="308"/>
      <c r="CB217" s="191"/>
      <c r="CC217" s="191"/>
    </row>
    <row r="218" spans="1:81" ht="59.25" customHeight="1">
      <c r="A218" s="380"/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4"/>
      <c r="N218" s="194"/>
      <c r="O218" s="194"/>
      <c r="P218" s="194"/>
      <c r="Q218" s="195"/>
      <c r="R218" s="194"/>
      <c r="S218" s="194"/>
      <c r="T218" s="194"/>
      <c r="U218" s="194"/>
      <c r="V218" s="195"/>
      <c r="W218" s="194"/>
      <c r="X218" s="194"/>
      <c r="Y218" s="194"/>
      <c r="Z218" s="194"/>
      <c r="AA218" s="195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5"/>
      <c r="AL218" s="194"/>
      <c r="AM218" s="194"/>
      <c r="AN218" s="194"/>
      <c r="AO218" s="194"/>
      <c r="AP218" s="195"/>
      <c r="AQ218" s="194"/>
      <c r="AR218" s="194"/>
      <c r="AS218" s="194"/>
      <c r="AT218" s="194"/>
      <c r="AU218" s="378"/>
      <c r="AV218" s="194"/>
      <c r="AW218" s="194"/>
      <c r="AX218" s="194"/>
      <c r="AY218" s="194"/>
      <c r="AZ218" s="195"/>
      <c r="BA218" s="194"/>
      <c r="BB218" s="194"/>
      <c r="BC218" s="194"/>
      <c r="BD218" s="194"/>
      <c r="BF218" s="194"/>
      <c r="BG218" s="194"/>
      <c r="BH218" s="194"/>
      <c r="BI218" s="194"/>
      <c r="BW218" s="193"/>
      <c r="BY218" s="195"/>
      <c r="BZ218" s="195"/>
      <c r="CA218" s="346"/>
      <c r="CB218" s="195"/>
      <c r="CC218" s="195"/>
    </row>
    <row r="219" spans="1:81" s="197" customFormat="1" ht="17.25" customHeight="1">
      <c r="A219" s="196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F219" s="196"/>
      <c r="BG219" s="196"/>
      <c r="BH219" s="196"/>
      <c r="BI219" s="196"/>
      <c r="BP219" s="309"/>
      <c r="BQ219" s="309"/>
      <c r="BR219" s="309"/>
      <c r="BS219" s="309"/>
      <c r="BT219" s="309"/>
      <c r="BV219" s="309"/>
      <c r="BW219" s="196"/>
      <c r="BY219" s="196"/>
      <c r="BZ219" s="196"/>
      <c r="CA219" s="347"/>
      <c r="CB219" s="196"/>
      <c r="CC219" s="196"/>
    </row>
    <row r="220" spans="1:81" ht="13.5" customHeight="1">
      <c r="A220" s="198"/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200"/>
      <c r="BF220" s="199"/>
      <c r="BG220" s="199"/>
      <c r="BH220" s="199"/>
      <c r="BI220" s="199"/>
      <c r="BJ220" s="200"/>
      <c r="BW220" s="199"/>
      <c r="BY220" s="199"/>
      <c r="BZ220" s="199"/>
      <c r="CA220" s="348"/>
      <c r="CB220" s="199"/>
      <c r="CC220" s="199"/>
    </row>
    <row r="221" spans="1:81" ht="15.75" customHeight="1">
      <c r="A221" s="201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202"/>
      <c r="AI221" s="195"/>
      <c r="AJ221" s="202"/>
      <c r="AK221" s="195"/>
      <c r="AL221" s="195"/>
      <c r="AM221" s="202"/>
      <c r="AN221" s="195"/>
      <c r="AO221" s="202"/>
      <c r="AP221" s="195"/>
      <c r="AQ221" s="195"/>
      <c r="AR221" s="202"/>
      <c r="AS221" s="195"/>
      <c r="AT221" s="202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F221" s="195"/>
      <c r="BG221" s="195"/>
      <c r="BH221" s="195"/>
      <c r="BI221" s="195"/>
      <c r="BW221" s="195"/>
      <c r="BY221" s="195"/>
      <c r="BZ221" s="195"/>
      <c r="CA221" s="346"/>
      <c r="CB221" s="195"/>
      <c r="CC221" s="195"/>
    </row>
    <row r="222" spans="1:81" ht="13.5" customHeight="1">
      <c r="A222" s="198"/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200"/>
      <c r="BF222" s="199"/>
      <c r="BG222" s="199"/>
      <c r="BH222" s="199"/>
      <c r="BI222" s="199"/>
      <c r="BJ222" s="200"/>
      <c r="BW222" s="199"/>
      <c r="BY222" s="199"/>
      <c r="BZ222" s="199"/>
      <c r="CA222" s="348"/>
      <c r="CB222" s="199"/>
      <c r="CC222" s="199"/>
    </row>
    <row r="223" spans="1:81" ht="15.75" customHeight="1">
      <c r="A223" s="203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202"/>
      <c r="AI223" s="202"/>
      <c r="AJ223" s="202"/>
      <c r="AK223" s="195"/>
      <c r="AL223" s="195"/>
      <c r="AM223" s="202"/>
      <c r="AN223" s="202"/>
      <c r="AO223" s="202"/>
      <c r="AP223" s="195"/>
      <c r="AQ223" s="195"/>
      <c r="AR223" s="202"/>
      <c r="AS223" s="195"/>
      <c r="AT223" s="202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F223" s="195"/>
      <c r="BG223" s="195"/>
      <c r="BH223" s="195"/>
      <c r="BI223" s="195"/>
      <c r="BW223" s="195"/>
      <c r="BY223" s="195"/>
      <c r="BZ223" s="195"/>
      <c r="CA223" s="346"/>
      <c r="CB223" s="195"/>
      <c r="CC223" s="195"/>
    </row>
    <row r="224" spans="1:81" ht="15.75" customHeight="1">
      <c r="A224" s="203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202"/>
      <c r="AI224" s="195"/>
      <c r="AJ224" s="202"/>
      <c r="AK224" s="195"/>
      <c r="AL224" s="195"/>
      <c r="AM224" s="202"/>
      <c r="AN224" s="195"/>
      <c r="AO224" s="202"/>
      <c r="AP224" s="195"/>
      <c r="AQ224" s="195"/>
      <c r="AR224" s="202"/>
      <c r="AS224" s="195"/>
      <c r="AT224" s="202"/>
      <c r="AU224" s="195"/>
      <c r="AV224" s="195"/>
      <c r="AW224" s="195"/>
      <c r="AX224" s="195"/>
      <c r="AY224" s="195"/>
      <c r="AZ224" s="195"/>
      <c r="BA224" s="195"/>
      <c r="BB224" s="195"/>
      <c r="BC224" s="195"/>
      <c r="BD224" s="195"/>
      <c r="BF224" s="195"/>
      <c r="BG224" s="195"/>
      <c r="BH224" s="195"/>
      <c r="BI224" s="195"/>
      <c r="BW224" s="195"/>
      <c r="BY224" s="195"/>
      <c r="BZ224" s="195"/>
      <c r="CA224" s="346"/>
      <c r="CB224" s="195"/>
      <c r="CC224" s="195"/>
    </row>
    <row r="225" spans="1:81" ht="15" customHeight="1">
      <c r="A225" s="198"/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200"/>
      <c r="BF225" s="199"/>
      <c r="BG225" s="199"/>
      <c r="BH225" s="199"/>
      <c r="BI225" s="199"/>
      <c r="BJ225" s="200"/>
      <c r="BW225" s="199"/>
      <c r="BY225" s="199"/>
      <c r="BZ225" s="199"/>
      <c r="CA225" s="348"/>
      <c r="CB225" s="199"/>
      <c r="CC225" s="199"/>
    </row>
    <row r="226" spans="1:81" ht="15" customHeight="1">
      <c r="A226" s="204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199"/>
      <c r="O226" s="199"/>
      <c r="P226" s="199"/>
      <c r="Q226" s="195"/>
      <c r="R226" s="199"/>
      <c r="S226" s="199"/>
      <c r="T226" s="199"/>
      <c r="U226" s="199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9"/>
      <c r="AH226" s="206"/>
      <c r="AI226" s="199"/>
      <c r="AJ226" s="207"/>
      <c r="AK226" s="195"/>
      <c r="AL226" s="199"/>
      <c r="AM226" s="206"/>
      <c r="AN226" s="199"/>
      <c r="AO226" s="207"/>
      <c r="AP226" s="195"/>
      <c r="AQ226" s="199"/>
      <c r="AR226" s="206"/>
      <c r="AS226" s="199"/>
      <c r="AT226" s="207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F226" s="195"/>
      <c r="BG226" s="195"/>
      <c r="BH226" s="195"/>
      <c r="BI226" s="195"/>
      <c r="BW226" s="205"/>
      <c r="BY226" s="195"/>
      <c r="BZ226" s="195"/>
      <c r="CA226" s="346"/>
      <c r="CB226" s="195"/>
      <c r="CC226" s="195"/>
    </row>
    <row r="227" spans="1:81" ht="15" customHeight="1">
      <c r="A227" s="203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205"/>
      <c r="T227" s="20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202"/>
      <c r="AI227" s="205"/>
      <c r="AJ227" s="202"/>
      <c r="AK227" s="195"/>
      <c r="AL227" s="195"/>
      <c r="AM227" s="202"/>
      <c r="AN227" s="205"/>
      <c r="AO227" s="202"/>
      <c r="AP227" s="195"/>
      <c r="AQ227" s="195"/>
      <c r="AR227" s="202"/>
      <c r="AS227" s="205"/>
      <c r="AT227" s="202"/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F227" s="195"/>
      <c r="BG227" s="195"/>
      <c r="BH227" s="195"/>
      <c r="BI227" s="195"/>
      <c r="BW227" s="195"/>
      <c r="BY227" s="195"/>
      <c r="BZ227" s="195"/>
      <c r="CA227" s="346"/>
      <c r="CB227" s="195"/>
      <c r="CC227" s="195"/>
    </row>
    <row r="228" spans="1:81" ht="15.75" customHeight="1">
      <c r="A228" s="203"/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202"/>
      <c r="AI228" s="195"/>
      <c r="AJ228" s="202"/>
      <c r="AK228" s="195"/>
      <c r="AL228" s="195"/>
      <c r="AM228" s="202"/>
      <c r="AN228" s="195"/>
      <c r="AO228" s="202"/>
      <c r="AP228" s="195"/>
      <c r="AQ228" s="195"/>
      <c r="AR228" s="202"/>
      <c r="AS228" s="195"/>
      <c r="AT228" s="202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F228" s="195"/>
      <c r="BG228" s="195"/>
      <c r="BH228" s="195"/>
      <c r="BI228" s="195"/>
      <c r="BW228" s="195"/>
      <c r="BY228" s="195"/>
      <c r="BZ228" s="195"/>
      <c r="CA228" s="346"/>
      <c r="CB228" s="195"/>
      <c r="CC228" s="195"/>
    </row>
    <row r="229" spans="1:81" ht="15.75" customHeight="1">
      <c r="A229" s="203"/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202"/>
      <c r="AI229" s="195"/>
      <c r="AJ229" s="202"/>
      <c r="AK229" s="195"/>
      <c r="AL229" s="195"/>
      <c r="AM229" s="202"/>
      <c r="AN229" s="195"/>
      <c r="AO229" s="202"/>
      <c r="AP229" s="195"/>
      <c r="AQ229" s="195"/>
      <c r="AR229" s="202"/>
      <c r="AS229" s="195"/>
      <c r="AT229" s="202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F229" s="195"/>
      <c r="BG229" s="195"/>
      <c r="BH229" s="195"/>
      <c r="BI229" s="195"/>
      <c r="BW229" s="195"/>
      <c r="BY229" s="195"/>
      <c r="BZ229" s="195"/>
      <c r="CA229" s="346"/>
      <c r="CB229" s="195"/>
      <c r="CC229" s="195"/>
    </row>
    <row r="230" spans="1:81" ht="15.75" customHeight="1">
      <c r="A230" s="203"/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202"/>
      <c r="AI230" s="195"/>
      <c r="AJ230" s="202"/>
      <c r="AK230" s="195"/>
      <c r="AL230" s="195"/>
      <c r="AM230" s="202"/>
      <c r="AN230" s="195"/>
      <c r="AO230" s="202"/>
      <c r="AP230" s="195"/>
      <c r="AQ230" s="195"/>
      <c r="AR230" s="202"/>
      <c r="AS230" s="195"/>
      <c r="AT230" s="202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F230" s="195"/>
      <c r="BG230" s="195"/>
      <c r="BH230" s="195"/>
      <c r="BI230" s="195"/>
      <c r="BW230" s="195"/>
      <c r="BY230" s="195"/>
      <c r="BZ230" s="195"/>
      <c r="CA230" s="346"/>
      <c r="CB230" s="195"/>
      <c r="CC230" s="195"/>
    </row>
    <row r="231" spans="1:81" ht="15.75" customHeight="1">
      <c r="A231" s="203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202"/>
      <c r="AI231" s="195"/>
      <c r="AJ231" s="202"/>
      <c r="AK231" s="195"/>
      <c r="AL231" s="195"/>
      <c r="AM231" s="202"/>
      <c r="AN231" s="195"/>
      <c r="AO231" s="202"/>
      <c r="AP231" s="195"/>
      <c r="AQ231" s="195"/>
      <c r="AR231" s="202"/>
      <c r="AS231" s="195"/>
      <c r="AT231" s="202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F231" s="195"/>
      <c r="BG231" s="195"/>
      <c r="BH231" s="195"/>
      <c r="BI231" s="195"/>
      <c r="BW231" s="195"/>
      <c r="BY231" s="195"/>
      <c r="BZ231" s="195"/>
      <c r="CA231" s="346"/>
      <c r="CB231" s="195"/>
      <c r="CC231" s="195"/>
    </row>
    <row r="232" spans="1:81" ht="15.75" customHeight="1">
      <c r="A232" s="203"/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202"/>
      <c r="AI232" s="195"/>
      <c r="AJ232" s="202"/>
      <c r="AK232" s="195"/>
      <c r="AL232" s="195"/>
      <c r="AM232" s="202"/>
      <c r="AN232" s="195"/>
      <c r="AO232" s="202"/>
      <c r="AP232" s="195"/>
      <c r="AQ232" s="195"/>
      <c r="AR232" s="202"/>
      <c r="AS232" s="195"/>
      <c r="AT232" s="202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F232" s="195"/>
      <c r="BG232" s="195"/>
      <c r="BH232" s="195"/>
      <c r="BI232" s="195"/>
      <c r="BW232" s="195"/>
      <c r="BY232" s="195"/>
      <c r="BZ232" s="195"/>
      <c r="CA232" s="346"/>
      <c r="CB232" s="195"/>
      <c r="CC232" s="195"/>
    </row>
    <row r="233" spans="1:81" ht="15.75" customHeight="1">
      <c r="A233" s="203"/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202"/>
      <c r="AI233" s="195"/>
      <c r="AJ233" s="202"/>
      <c r="AK233" s="195"/>
      <c r="AL233" s="195"/>
      <c r="AM233" s="202"/>
      <c r="AN233" s="195"/>
      <c r="AO233" s="202"/>
      <c r="AP233" s="195"/>
      <c r="AQ233" s="195"/>
      <c r="AR233" s="202"/>
      <c r="AS233" s="195"/>
      <c r="AT233" s="202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F233" s="195"/>
      <c r="BG233" s="195"/>
      <c r="BH233" s="195"/>
      <c r="BI233" s="195"/>
      <c r="BW233" s="195"/>
      <c r="BY233" s="195"/>
      <c r="BZ233" s="195"/>
      <c r="CA233" s="346"/>
      <c r="CB233" s="195"/>
      <c r="CC233" s="195"/>
    </row>
    <row r="234" spans="1:81" ht="15.75" customHeight="1">
      <c r="A234" s="203"/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202"/>
      <c r="AI234" s="195"/>
      <c r="AJ234" s="202"/>
      <c r="AK234" s="195"/>
      <c r="AL234" s="195"/>
      <c r="AM234" s="202"/>
      <c r="AN234" s="195"/>
      <c r="AO234" s="202"/>
      <c r="AP234" s="195"/>
      <c r="AQ234" s="195"/>
      <c r="AR234" s="202"/>
      <c r="AS234" s="195"/>
      <c r="AT234" s="202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F234" s="195"/>
      <c r="BG234" s="195"/>
      <c r="BH234" s="195"/>
      <c r="BI234" s="195"/>
      <c r="BW234" s="195"/>
      <c r="BY234" s="195"/>
      <c r="BZ234" s="195"/>
      <c r="CA234" s="346"/>
      <c r="CB234" s="195"/>
      <c r="CC234" s="195"/>
    </row>
    <row r="235" spans="1:81" ht="16.5" customHeight="1">
      <c r="A235" s="203"/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208"/>
      <c r="AI235" s="195"/>
      <c r="AJ235" s="202"/>
      <c r="AK235" s="195"/>
      <c r="AL235" s="195"/>
      <c r="AM235" s="208"/>
      <c r="AN235" s="195"/>
      <c r="AO235" s="202"/>
      <c r="AP235" s="195"/>
      <c r="AQ235" s="195"/>
      <c r="AR235" s="208"/>
      <c r="AS235" s="195"/>
      <c r="AT235" s="202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F235" s="195"/>
      <c r="BG235" s="195"/>
      <c r="BH235" s="195"/>
      <c r="BI235" s="195"/>
      <c r="BW235" s="195"/>
      <c r="BY235" s="195"/>
      <c r="BZ235" s="195"/>
      <c r="CA235" s="346"/>
      <c r="CB235" s="195"/>
      <c r="CC235" s="195"/>
    </row>
    <row r="236" spans="1:81" ht="15.75" customHeight="1">
      <c r="A236" s="203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202"/>
      <c r="AI236" s="195"/>
      <c r="AJ236" s="202"/>
      <c r="AK236" s="195"/>
      <c r="AL236" s="195"/>
      <c r="AM236" s="202"/>
      <c r="AN236" s="195"/>
      <c r="AO236" s="202"/>
      <c r="AP236" s="195"/>
      <c r="AQ236" s="195"/>
      <c r="AR236" s="202"/>
      <c r="AS236" s="195"/>
      <c r="AT236" s="202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F236" s="195"/>
      <c r="BG236" s="195"/>
      <c r="BH236" s="195"/>
      <c r="BI236" s="195"/>
      <c r="BW236" s="195"/>
      <c r="BY236" s="195"/>
      <c r="BZ236" s="195"/>
      <c r="CA236" s="346"/>
      <c r="CB236" s="195"/>
      <c r="CC236" s="195"/>
    </row>
    <row r="237" spans="1:81" ht="15.75" customHeight="1">
      <c r="A237" s="203"/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202"/>
      <c r="AI237" s="195"/>
      <c r="AJ237" s="202"/>
      <c r="AK237" s="195"/>
      <c r="AL237" s="195"/>
      <c r="AM237" s="202"/>
      <c r="AN237" s="195"/>
      <c r="AO237" s="202"/>
      <c r="AP237" s="195"/>
      <c r="AQ237" s="195"/>
      <c r="AR237" s="202"/>
      <c r="AS237" s="195"/>
      <c r="AT237" s="202"/>
      <c r="AU237" s="195"/>
      <c r="AV237" s="195"/>
      <c r="AW237" s="195"/>
      <c r="AX237" s="195"/>
      <c r="AY237" s="195"/>
      <c r="AZ237" s="195"/>
      <c r="BA237" s="195"/>
      <c r="BB237" s="195"/>
      <c r="BC237" s="195"/>
      <c r="BD237" s="195"/>
      <c r="BF237" s="195"/>
      <c r="BG237" s="195"/>
      <c r="BH237" s="195"/>
      <c r="BI237" s="195"/>
      <c r="BW237" s="195"/>
      <c r="BY237" s="195"/>
      <c r="BZ237" s="195"/>
      <c r="CA237" s="346"/>
      <c r="CB237" s="195"/>
      <c r="CC237" s="195"/>
    </row>
    <row r="238" spans="1:81" ht="15.75" customHeight="1">
      <c r="A238" s="203"/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202"/>
      <c r="AI238" s="195"/>
      <c r="AJ238" s="202"/>
      <c r="AK238" s="195"/>
      <c r="AL238" s="195"/>
      <c r="AM238" s="202"/>
      <c r="AN238" s="195"/>
      <c r="AO238" s="202"/>
      <c r="AP238" s="195"/>
      <c r="AQ238" s="195"/>
      <c r="AR238" s="202"/>
      <c r="AS238" s="195"/>
      <c r="AT238" s="202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F238" s="195"/>
      <c r="BG238" s="195"/>
      <c r="BH238" s="195"/>
      <c r="BI238" s="195"/>
      <c r="BW238" s="195"/>
      <c r="BY238" s="195"/>
      <c r="BZ238" s="195"/>
      <c r="CA238" s="346"/>
      <c r="CB238" s="195"/>
      <c r="CC238" s="195"/>
    </row>
    <row r="239" spans="1:81" ht="15.75" customHeight="1">
      <c r="A239" s="203"/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202"/>
      <c r="AI239" s="195"/>
      <c r="AJ239" s="202"/>
      <c r="AK239" s="195"/>
      <c r="AL239" s="195"/>
      <c r="AM239" s="202"/>
      <c r="AN239" s="195"/>
      <c r="AO239" s="202"/>
      <c r="AP239" s="195"/>
      <c r="AQ239" s="195"/>
      <c r="AR239" s="202"/>
      <c r="AS239" s="195"/>
      <c r="AT239" s="202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F239" s="195"/>
      <c r="BG239" s="195"/>
      <c r="BH239" s="195"/>
      <c r="BI239" s="195"/>
      <c r="BW239" s="195"/>
      <c r="BY239" s="195"/>
      <c r="BZ239" s="195"/>
      <c r="CA239" s="346"/>
      <c r="CB239" s="195"/>
      <c r="CC239" s="195"/>
    </row>
    <row r="240" spans="1:81" ht="15.75" customHeight="1">
      <c r="A240" s="203"/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202"/>
      <c r="AI240" s="195"/>
      <c r="AJ240" s="202"/>
      <c r="AK240" s="195"/>
      <c r="AL240" s="195"/>
      <c r="AM240" s="202"/>
      <c r="AN240" s="195"/>
      <c r="AO240" s="202"/>
      <c r="AP240" s="195"/>
      <c r="AQ240" s="195"/>
      <c r="AR240" s="202"/>
      <c r="AS240" s="195"/>
      <c r="AT240" s="202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F240" s="195"/>
      <c r="BG240" s="195"/>
      <c r="BH240" s="195"/>
      <c r="BI240" s="195"/>
      <c r="BW240" s="195"/>
      <c r="BY240" s="195"/>
      <c r="BZ240" s="195"/>
      <c r="CA240" s="346"/>
      <c r="CB240" s="195"/>
      <c r="CC240" s="195"/>
    </row>
    <row r="241" spans="1:81" ht="15.75" customHeight="1">
      <c r="A241" s="203"/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202"/>
      <c r="AI241" s="195"/>
      <c r="AJ241" s="202"/>
      <c r="AK241" s="195"/>
      <c r="AL241" s="195"/>
      <c r="AM241" s="202"/>
      <c r="AN241" s="195"/>
      <c r="AO241" s="202"/>
      <c r="AP241" s="195"/>
      <c r="AQ241" s="195"/>
      <c r="AR241" s="202"/>
      <c r="AS241" s="195"/>
      <c r="AT241" s="202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F241" s="195"/>
      <c r="BG241" s="195"/>
      <c r="BH241" s="195"/>
      <c r="BI241" s="195"/>
      <c r="BW241" s="195"/>
      <c r="BY241" s="195"/>
      <c r="BZ241" s="195"/>
      <c r="CA241" s="346"/>
      <c r="CB241" s="195"/>
      <c r="CC241" s="195"/>
    </row>
    <row r="242" spans="1:81" ht="15.75" customHeight="1">
      <c r="A242" s="203"/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202"/>
      <c r="AI242" s="195"/>
      <c r="AJ242" s="202"/>
      <c r="AK242" s="195"/>
      <c r="AL242" s="195"/>
      <c r="AM242" s="202"/>
      <c r="AN242" s="195"/>
      <c r="AO242" s="202"/>
      <c r="AP242" s="195"/>
      <c r="AQ242" s="195"/>
      <c r="AR242" s="202"/>
      <c r="AS242" s="195"/>
      <c r="AT242" s="202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F242" s="195"/>
      <c r="BG242" s="195"/>
      <c r="BH242" s="195"/>
      <c r="BI242" s="195"/>
      <c r="BW242" s="195"/>
      <c r="BY242" s="195"/>
      <c r="BZ242" s="195"/>
      <c r="CA242" s="346"/>
      <c r="CB242" s="195"/>
      <c r="CC242" s="195"/>
    </row>
    <row r="243" spans="1:81" ht="15.75" customHeight="1">
      <c r="A243" s="198"/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199"/>
      <c r="AT243" s="199"/>
      <c r="AU243" s="199"/>
      <c r="AV243" s="199"/>
      <c r="AW243" s="199"/>
      <c r="AX243" s="199"/>
      <c r="AY243" s="199"/>
      <c r="AZ243" s="199"/>
      <c r="BA243" s="199"/>
      <c r="BB243" s="199"/>
      <c r="BC243" s="199"/>
      <c r="BD243" s="199"/>
      <c r="BE243" s="200"/>
      <c r="BF243" s="199"/>
      <c r="BG243" s="199"/>
      <c r="BH243" s="199"/>
      <c r="BI243" s="199"/>
      <c r="BJ243" s="200"/>
      <c r="BW243" s="199"/>
      <c r="BY243" s="199"/>
      <c r="BZ243" s="199"/>
      <c r="CA243" s="348"/>
      <c r="CB243" s="199"/>
      <c r="CC243" s="199"/>
    </row>
    <row r="244" spans="1:81" s="211" customFormat="1" ht="15.75" customHeight="1">
      <c r="A244" s="204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195"/>
      <c r="R244" s="209"/>
      <c r="S244" s="209"/>
      <c r="T244" s="209"/>
      <c r="U244" s="209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209"/>
      <c r="AH244" s="206"/>
      <c r="AI244" s="209"/>
      <c r="AJ244" s="210"/>
      <c r="AK244" s="195"/>
      <c r="AL244" s="209"/>
      <c r="AM244" s="206"/>
      <c r="AN244" s="209"/>
      <c r="AO244" s="210"/>
      <c r="AP244" s="195"/>
      <c r="AQ244" s="209"/>
      <c r="AR244" s="206"/>
      <c r="AS244" s="209"/>
      <c r="AT244" s="210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F244" s="195"/>
      <c r="BG244" s="195"/>
      <c r="BH244" s="195"/>
      <c r="BI244" s="195"/>
      <c r="BP244" s="310"/>
      <c r="BQ244" s="310"/>
      <c r="BR244" s="310"/>
      <c r="BS244" s="310"/>
      <c r="BT244" s="310"/>
      <c r="BV244" s="310"/>
      <c r="BW244" s="209"/>
      <c r="BY244" s="195"/>
      <c r="BZ244" s="195"/>
      <c r="CA244" s="346"/>
      <c r="CB244" s="195"/>
      <c r="CC244" s="195"/>
    </row>
    <row r="245" spans="1:81" ht="15.75" customHeight="1">
      <c r="A245" s="203"/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209"/>
      <c r="O245" s="195"/>
      <c r="P245" s="209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202"/>
      <c r="AI245" s="195"/>
      <c r="AJ245" s="202"/>
      <c r="AK245" s="195"/>
      <c r="AL245" s="195"/>
      <c r="AM245" s="202"/>
      <c r="AN245" s="195"/>
      <c r="AO245" s="202"/>
      <c r="AP245" s="195"/>
      <c r="AQ245" s="195"/>
      <c r="AR245" s="202"/>
      <c r="AS245" s="195"/>
      <c r="AT245" s="202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F245" s="195"/>
      <c r="BG245" s="195"/>
      <c r="BH245" s="195"/>
      <c r="BI245" s="195"/>
      <c r="BW245" s="195"/>
      <c r="BY245" s="195"/>
      <c r="BZ245" s="195"/>
      <c r="CA245" s="346"/>
      <c r="CB245" s="195"/>
      <c r="CC245" s="195"/>
    </row>
    <row r="246" spans="1:81" ht="15.75" customHeight="1">
      <c r="A246" s="203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202"/>
      <c r="AI246" s="195"/>
      <c r="AJ246" s="202"/>
      <c r="AK246" s="195"/>
      <c r="AL246" s="195"/>
      <c r="AM246" s="202"/>
      <c r="AN246" s="195"/>
      <c r="AO246" s="202"/>
      <c r="AP246" s="195"/>
      <c r="AQ246" s="195"/>
      <c r="AR246" s="202"/>
      <c r="AS246" s="195"/>
      <c r="AT246" s="202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F246" s="195"/>
      <c r="BG246" s="195"/>
      <c r="BH246" s="195"/>
      <c r="BI246" s="195"/>
      <c r="BW246" s="195"/>
      <c r="BY246" s="195"/>
      <c r="BZ246" s="195"/>
      <c r="CA246" s="346"/>
      <c r="CB246" s="195"/>
      <c r="CC246" s="195"/>
    </row>
    <row r="247" spans="1:81" ht="15.75" customHeight="1">
      <c r="A247" s="203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202"/>
      <c r="AI247" s="195"/>
      <c r="AJ247" s="202"/>
      <c r="AK247" s="195"/>
      <c r="AL247" s="195"/>
      <c r="AM247" s="202"/>
      <c r="AN247" s="195"/>
      <c r="AO247" s="202"/>
      <c r="AP247" s="195"/>
      <c r="AQ247" s="195"/>
      <c r="AR247" s="202"/>
      <c r="AS247" s="195"/>
      <c r="AT247" s="202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F247" s="195"/>
      <c r="BG247" s="195"/>
      <c r="BH247" s="195"/>
      <c r="BI247" s="195"/>
      <c r="BW247" s="195"/>
      <c r="BY247" s="195"/>
      <c r="BZ247" s="195"/>
      <c r="CA247" s="346"/>
      <c r="CB247" s="195"/>
      <c r="CC247" s="195"/>
    </row>
    <row r="248" spans="1:81" ht="15.75" customHeight="1">
      <c r="A248" s="203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202"/>
      <c r="AI248" s="195"/>
      <c r="AJ248" s="202"/>
      <c r="AK248" s="195"/>
      <c r="AL248" s="195"/>
      <c r="AM248" s="202"/>
      <c r="AN248" s="195"/>
      <c r="AO248" s="202"/>
      <c r="AP248" s="195"/>
      <c r="AQ248" s="195"/>
      <c r="AR248" s="202"/>
      <c r="AS248" s="195"/>
      <c r="AT248" s="202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F248" s="195"/>
      <c r="BG248" s="195"/>
      <c r="BH248" s="195"/>
      <c r="BI248" s="195"/>
      <c r="BW248" s="195"/>
      <c r="BY248" s="195"/>
      <c r="BZ248" s="195"/>
      <c r="CA248" s="346"/>
      <c r="CB248" s="195"/>
      <c r="CC248" s="195"/>
    </row>
    <row r="249" spans="1:81" ht="15.75" customHeight="1">
      <c r="A249" s="203"/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202"/>
      <c r="AI249" s="195"/>
      <c r="AJ249" s="202"/>
      <c r="AK249" s="195"/>
      <c r="AL249" s="195"/>
      <c r="AM249" s="202"/>
      <c r="AN249" s="195"/>
      <c r="AO249" s="202"/>
      <c r="AP249" s="195"/>
      <c r="AQ249" s="195"/>
      <c r="AR249" s="202"/>
      <c r="AS249" s="195"/>
      <c r="AT249" s="202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F249" s="195"/>
      <c r="BG249" s="195"/>
      <c r="BH249" s="195"/>
      <c r="BI249" s="195"/>
      <c r="BW249" s="195"/>
      <c r="BY249" s="195"/>
      <c r="BZ249" s="195"/>
      <c r="CA249" s="346"/>
      <c r="CB249" s="195"/>
      <c r="CC249" s="195"/>
    </row>
    <row r="250" spans="1:81" ht="18" customHeight="1">
      <c r="A250" s="203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202"/>
      <c r="AI250" s="195"/>
      <c r="AJ250" s="202"/>
      <c r="AK250" s="195"/>
      <c r="AL250" s="195"/>
      <c r="AM250" s="202"/>
      <c r="AN250" s="195"/>
      <c r="AO250" s="202"/>
      <c r="AP250" s="195"/>
      <c r="AQ250" s="195"/>
      <c r="AR250" s="202"/>
      <c r="AS250" s="195"/>
      <c r="AT250" s="202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F250" s="195"/>
      <c r="BG250" s="195"/>
      <c r="BH250" s="195"/>
      <c r="BI250" s="195"/>
      <c r="BW250" s="195"/>
      <c r="BY250" s="195"/>
      <c r="BZ250" s="195"/>
      <c r="CA250" s="346"/>
      <c r="CB250" s="195"/>
      <c r="CC250" s="195"/>
    </row>
    <row r="251" spans="1:81" ht="15.75" customHeight="1">
      <c r="A251" s="203"/>
      <c r="B251" s="195"/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202"/>
      <c r="AI251" s="195"/>
      <c r="AJ251" s="202"/>
      <c r="AK251" s="195"/>
      <c r="AL251" s="195"/>
      <c r="AM251" s="202"/>
      <c r="AN251" s="195"/>
      <c r="AO251" s="202"/>
      <c r="AP251" s="195"/>
      <c r="AQ251" s="195"/>
      <c r="AR251" s="202"/>
      <c r="AS251" s="195"/>
      <c r="AT251" s="202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F251" s="195"/>
      <c r="BG251" s="195"/>
      <c r="BH251" s="195"/>
      <c r="BI251" s="195"/>
      <c r="BW251" s="195"/>
      <c r="BY251" s="195"/>
      <c r="BZ251" s="195"/>
      <c r="CA251" s="346"/>
      <c r="CB251" s="195"/>
      <c r="CC251" s="195"/>
    </row>
    <row r="252" spans="1:81" ht="15.75" customHeight="1">
      <c r="A252" s="203"/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208"/>
      <c r="AI252" s="195"/>
      <c r="AJ252" s="202"/>
      <c r="AK252" s="195"/>
      <c r="AL252" s="195"/>
      <c r="AM252" s="208"/>
      <c r="AN252" s="195"/>
      <c r="AO252" s="202"/>
      <c r="AP252" s="195"/>
      <c r="AQ252" s="195"/>
      <c r="AR252" s="208"/>
      <c r="AS252" s="195"/>
      <c r="AT252" s="202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F252" s="195"/>
      <c r="BG252" s="195"/>
      <c r="BH252" s="195"/>
      <c r="BI252" s="195"/>
      <c r="BW252" s="195"/>
      <c r="BY252" s="195"/>
      <c r="BZ252" s="195"/>
      <c r="CA252" s="346"/>
      <c r="CB252" s="195"/>
      <c r="CC252" s="195"/>
    </row>
    <row r="253" spans="1:81" ht="15.75" customHeight="1">
      <c r="A253" s="203"/>
      <c r="B253" s="195"/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208"/>
      <c r="AI253" s="195"/>
      <c r="AJ253" s="202"/>
      <c r="AK253" s="195"/>
      <c r="AL253" s="195"/>
      <c r="AM253" s="208"/>
      <c r="AN253" s="195"/>
      <c r="AO253" s="202"/>
      <c r="AP253" s="195"/>
      <c r="AQ253" s="195"/>
      <c r="AR253" s="208"/>
      <c r="AS253" s="195"/>
      <c r="AT253" s="202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F253" s="195"/>
      <c r="BG253" s="195"/>
      <c r="BH253" s="195"/>
      <c r="BI253" s="195"/>
      <c r="BW253" s="195"/>
      <c r="BY253" s="195"/>
      <c r="BZ253" s="195"/>
      <c r="CA253" s="346"/>
      <c r="CB253" s="195"/>
      <c r="CC253" s="195"/>
    </row>
    <row r="254" spans="1:81" ht="15.75" customHeight="1">
      <c r="A254" s="203"/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202"/>
      <c r="AI254" s="195"/>
      <c r="AJ254" s="202"/>
      <c r="AK254" s="195"/>
      <c r="AL254" s="195"/>
      <c r="AM254" s="202"/>
      <c r="AN254" s="195"/>
      <c r="AO254" s="202"/>
      <c r="AP254" s="195"/>
      <c r="AQ254" s="195"/>
      <c r="AR254" s="202"/>
      <c r="AS254" s="195"/>
      <c r="AT254" s="202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F254" s="195"/>
      <c r="BG254" s="195"/>
      <c r="BH254" s="195"/>
      <c r="BI254" s="195"/>
      <c r="BW254" s="195"/>
      <c r="BY254" s="195"/>
      <c r="BZ254" s="195"/>
      <c r="CA254" s="346"/>
      <c r="CB254" s="195"/>
      <c r="CC254" s="195"/>
    </row>
    <row r="255" spans="1:81" ht="15.75" customHeight="1">
      <c r="A255" s="203"/>
      <c r="B255" s="195"/>
      <c r="C255" s="195"/>
      <c r="D255" s="195"/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202"/>
      <c r="AI255" s="195"/>
      <c r="AJ255" s="202"/>
      <c r="AK255" s="195"/>
      <c r="AL255" s="195"/>
      <c r="AM255" s="202"/>
      <c r="AN255" s="195"/>
      <c r="AO255" s="202"/>
      <c r="AP255" s="195"/>
      <c r="AQ255" s="195"/>
      <c r="AR255" s="202"/>
      <c r="AS255" s="195"/>
      <c r="AT255" s="202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F255" s="195"/>
      <c r="BG255" s="195"/>
      <c r="BH255" s="195"/>
      <c r="BI255" s="195"/>
      <c r="BW255" s="195"/>
      <c r="BY255" s="195"/>
      <c r="BZ255" s="195"/>
      <c r="CA255" s="346"/>
      <c r="CB255" s="195"/>
      <c r="CC255" s="195"/>
    </row>
    <row r="256" spans="1:81" ht="15.75" customHeight="1">
      <c r="A256" s="203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202"/>
      <c r="AI256" s="195"/>
      <c r="AJ256" s="202"/>
      <c r="AK256" s="195"/>
      <c r="AL256" s="195"/>
      <c r="AM256" s="202"/>
      <c r="AN256" s="195"/>
      <c r="AO256" s="202"/>
      <c r="AP256" s="195"/>
      <c r="AQ256" s="195"/>
      <c r="AR256" s="202"/>
      <c r="AS256" s="195"/>
      <c r="AT256" s="202"/>
      <c r="AU256" s="195"/>
      <c r="AV256" s="195"/>
      <c r="AW256" s="195"/>
      <c r="AX256" s="195"/>
      <c r="AY256" s="195"/>
      <c r="AZ256" s="195"/>
      <c r="BA256" s="195"/>
      <c r="BB256" s="195"/>
      <c r="BC256" s="195"/>
      <c r="BD256" s="195"/>
      <c r="BF256" s="195"/>
      <c r="BG256" s="195"/>
      <c r="BH256" s="195"/>
      <c r="BI256" s="195"/>
      <c r="BW256" s="195"/>
      <c r="BY256" s="195"/>
      <c r="BZ256" s="195"/>
      <c r="CA256" s="346"/>
      <c r="CB256" s="195"/>
      <c r="CC256" s="195"/>
    </row>
    <row r="257" spans="1:81" ht="15.75" customHeight="1">
      <c r="A257" s="201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202"/>
      <c r="AI257" s="195"/>
      <c r="AJ257" s="202"/>
      <c r="AK257" s="195"/>
      <c r="AL257" s="195"/>
      <c r="AM257" s="202"/>
      <c r="AN257" s="195"/>
      <c r="AO257" s="202"/>
      <c r="AP257" s="195"/>
      <c r="AQ257" s="195"/>
      <c r="AR257" s="202"/>
      <c r="AS257" s="195"/>
      <c r="AT257" s="202"/>
      <c r="AU257" s="195"/>
      <c r="AV257" s="195"/>
      <c r="AW257" s="195"/>
      <c r="AX257" s="195"/>
      <c r="AY257" s="195"/>
      <c r="AZ257" s="195"/>
      <c r="BA257" s="195"/>
      <c r="BB257" s="195"/>
      <c r="BC257" s="195"/>
      <c r="BD257" s="195"/>
      <c r="BF257" s="195"/>
      <c r="BG257" s="195"/>
      <c r="BH257" s="195"/>
      <c r="BI257" s="195"/>
      <c r="BW257" s="195"/>
      <c r="BY257" s="195"/>
      <c r="BZ257" s="195"/>
      <c r="CA257" s="346"/>
      <c r="CB257" s="195"/>
      <c r="CC257" s="195"/>
    </row>
    <row r="258" spans="1:81" ht="18" customHeight="1">
      <c r="A258" s="198"/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199"/>
      <c r="AT258" s="199"/>
      <c r="AU258" s="199"/>
      <c r="AV258" s="199"/>
      <c r="AW258" s="199"/>
      <c r="AX258" s="199"/>
      <c r="AY258" s="199"/>
      <c r="AZ258" s="199"/>
      <c r="BA258" s="199"/>
      <c r="BB258" s="199"/>
      <c r="BC258" s="199"/>
      <c r="BD258" s="199"/>
      <c r="BE258" s="200"/>
      <c r="BF258" s="199"/>
      <c r="BG258" s="199"/>
      <c r="BH258" s="199"/>
      <c r="BI258" s="199"/>
      <c r="BJ258" s="200"/>
      <c r="BW258" s="199"/>
      <c r="BY258" s="199"/>
      <c r="BZ258" s="199"/>
      <c r="CA258" s="348"/>
      <c r="CB258" s="199"/>
      <c r="CC258" s="199"/>
    </row>
    <row r="259" spans="1:81" ht="15.75" customHeight="1">
      <c r="A259" s="203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202"/>
      <c r="AI259" s="195"/>
      <c r="AJ259" s="202"/>
      <c r="AK259" s="195"/>
      <c r="AL259" s="195"/>
      <c r="AM259" s="202"/>
      <c r="AN259" s="195"/>
      <c r="AO259" s="202"/>
      <c r="AP259" s="195"/>
      <c r="AQ259" s="195"/>
      <c r="AR259" s="202"/>
      <c r="AS259" s="195"/>
      <c r="AT259" s="202"/>
      <c r="AU259" s="195"/>
      <c r="AV259" s="195"/>
      <c r="AW259" s="195"/>
      <c r="AX259" s="195"/>
      <c r="AY259" s="195"/>
      <c r="AZ259" s="195"/>
      <c r="BA259" s="195"/>
      <c r="BB259" s="195"/>
      <c r="BC259" s="195"/>
      <c r="BD259" s="195"/>
      <c r="BF259" s="195"/>
      <c r="BG259" s="195"/>
      <c r="BH259" s="195"/>
      <c r="BI259" s="195"/>
      <c r="BW259" s="195"/>
      <c r="BY259" s="195"/>
      <c r="BZ259" s="195"/>
      <c r="CA259" s="346"/>
      <c r="CB259" s="195"/>
      <c r="CC259" s="195"/>
    </row>
    <row r="260" spans="1:81" ht="15.75" customHeight="1">
      <c r="A260" s="203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202"/>
      <c r="AI260" s="195"/>
      <c r="AJ260" s="202"/>
      <c r="AK260" s="195"/>
      <c r="AL260" s="195"/>
      <c r="AM260" s="202"/>
      <c r="AN260" s="195"/>
      <c r="AO260" s="202"/>
      <c r="AP260" s="195"/>
      <c r="AQ260" s="195"/>
      <c r="AR260" s="202"/>
      <c r="AS260" s="195"/>
      <c r="AT260" s="202"/>
      <c r="AU260" s="195"/>
      <c r="AV260" s="195"/>
      <c r="AW260" s="195"/>
      <c r="AX260" s="195"/>
      <c r="AY260" s="195"/>
      <c r="AZ260" s="195"/>
      <c r="BA260" s="195"/>
      <c r="BB260" s="195"/>
      <c r="BC260" s="195"/>
      <c r="BD260" s="195"/>
      <c r="BF260" s="195"/>
      <c r="BG260" s="195"/>
      <c r="BH260" s="195"/>
      <c r="BI260" s="195"/>
      <c r="BW260" s="195"/>
      <c r="BY260" s="195"/>
      <c r="BZ260" s="195"/>
      <c r="CA260" s="346"/>
      <c r="CB260" s="195"/>
      <c r="CC260" s="195"/>
    </row>
    <row r="261" spans="1:81" ht="15.75" customHeight="1">
      <c r="A261" s="203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202"/>
      <c r="AI261" s="195"/>
      <c r="AJ261" s="202"/>
      <c r="AK261" s="195"/>
      <c r="AL261" s="195"/>
      <c r="AM261" s="202"/>
      <c r="AN261" s="195"/>
      <c r="AO261" s="202"/>
      <c r="AP261" s="195"/>
      <c r="AQ261" s="195"/>
      <c r="AR261" s="202"/>
      <c r="AS261" s="195"/>
      <c r="AT261" s="202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F261" s="195"/>
      <c r="BG261" s="195"/>
      <c r="BH261" s="195"/>
      <c r="BI261" s="195"/>
      <c r="BW261" s="195"/>
      <c r="BY261" s="195"/>
      <c r="BZ261" s="195"/>
      <c r="CA261" s="346"/>
      <c r="CB261" s="195"/>
      <c r="CC261" s="195"/>
    </row>
    <row r="262" spans="1:81" ht="15.75" customHeight="1">
      <c r="A262" s="203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202"/>
      <c r="AI262" s="195"/>
      <c r="AJ262" s="202"/>
      <c r="AK262" s="195"/>
      <c r="AL262" s="195"/>
      <c r="AM262" s="202"/>
      <c r="AN262" s="195"/>
      <c r="AO262" s="202"/>
      <c r="AP262" s="195"/>
      <c r="AQ262" s="195"/>
      <c r="AR262" s="202"/>
      <c r="AS262" s="195"/>
      <c r="AT262" s="202"/>
      <c r="AU262" s="195"/>
      <c r="AV262" s="195"/>
      <c r="AW262" s="195"/>
      <c r="AX262" s="195"/>
      <c r="AY262" s="195"/>
      <c r="AZ262" s="195"/>
      <c r="BA262" s="195"/>
      <c r="BB262" s="195"/>
      <c r="BC262" s="195"/>
      <c r="BD262" s="195"/>
      <c r="BF262" s="195"/>
      <c r="BG262" s="195"/>
      <c r="BH262" s="195"/>
      <c r="BI262" s="195"/>
      <c r="BW262" s="195"/>
      <c r="BY262" s="195"/>
      <c r="BZ262" s="195"/>
      <c r="CA262" s="346"/>
      <c r="CB262" s="195"/>
      <c r="CC262" s="195"/>
    </row>
    <row r="263" spans="1:81" ht="15.75" customHeight="1">
      <c r="A263" s="203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202"/>
      <c r="AI263" s="195"/>
      <c r="AJ263" s="202"/>
      <c r="AK263" s="195"/>
      <c r="AL263" s="195"/>
      <c r="AM263" s="202"/>
      <c r="AN263" s="195"/>
      <c r="AO263" s="202"/>
      <c r="AP263" s="195"/>
      <c r="AQ263" s="195"/>
      <c r="AR263" s="202"/>
      <c r="AS263" s="195"/>
      <c r="AT263" s="202"/>
      <c r="AU263" s="195"/>
      <c r="AV263" s="195"/>
      <c r="AW263" s="195"/>
      <c r="AX263" s="195"/>
      <c r="AY263" s="195"/>
      <c r="AZ263" s="195"/>
      <c r="BA263" s="195"/>
      <c r="BB263" s="195"/>
      <c r="BC263" s="195"/>
      <c r="BD263" s="195"/>
      <c r="BF263" s="195"/>
      <c r="BG263" s="195"/>
      <c r="BH263" s="195"/>
      <c r="BI263" s="195"/>
      <c r="BW263" s="195"/>
      <c r="BY263" s="195"/>
      <c r="BZ263" s="195"/>
      <c r="CA263" s="346"/>
      <c r="CB263" s="195"/>
      <c r="CC263" s="195"/>
    </row>
    <row r="264" spans="1:81" ht="15.75" customHeight="1">
      <c r="A264" s="203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202"/>
      <c r="AI264" s="195"/>
      <c r="AJ264" s="202"/>
      <c r="AK264" s="195"/>
      <c r="AL264" s="195"/>
      <c r="AM264" s="202"/>
      <c r="AN264" s="195"/>
      <c r="AO264" s="202"/>
      <c r="AP264" s="195"/>
      <c r="AQ264" s="195"/>
      <c r="AR264" s="202"/>
      <c r="AS264" s="195"/>
      <c r="AT264" s="202"/>
      <c r="AU264" s="195"/>
      <c r="AV264" s="195"/>
      <c r="AW264" s="195"/>
      <c r="AX264" s="195"/>
      <c r="AY264" s="195"/>
      <c r="AZ264" s="195"/>
      <c r="BA264" s="195"/>
      <c r="BB264" s="195"/>
      <c r="BC264" s="195"/>
      <c r="BD264" s="195"/>
      <c r="BF264" s="195"/>
      <c r="BG264" s="195"/>
      <c r="BH264" s="195"/>
      <c r="BI264" s="195"/>
      <c r="BW264" s="195"/>
      <c r="BY264" s="195"/>
      <c r="BZ264" s="195"/>
      <c r="CA264" s="346"/>
      <c r="CB264" s="195"/>
      <c r="CC264" s="195"/>
    </row>
    <row r="265" spans="1:81" ht="15.75" customHeight="1">
      <c r="A265" s="203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202"/>
      <c r="AI265" s="195"/>
      <c r="AJ265" s="202"/>
      <c r="AK265" s="195"/>
      <c r="AL265" s="195"/>
      <c r="AM265" s="202"/>
      <c r="AN265" s="195"/>
      <c r="AO265" s="202"/>
      <c r="AP265" s="195"/>
      <c r="AQ265" s="195"/>
      <c r="AR265" s="202"/>
      <c r="AS265" s="195"/>
      <c r="AT265" s="202"/>
      <c r="AU265" s="195"/>
      <c r="AV265" s="195"/>
      <c r="AW265" s="195"/>
      <c r="AX265" s="195"/>
      <c r="AY265" s="195"/>
      <c r="AZ265" s="195"/>
      <c r="BA265" s="195"/>
      <c r="BB265" s="195"/>
      <c r="BC265" s="195"/>
      <c r="BD265" s="195"/>
      <c r="BF265" s="195"/>
      <c r="BG265" s="195"/>
      <c r="BH265" s="195"/>
      <c r="BI265" s="195"/>
      <c r="BW265" s="195"/>
      <c r="BY265" s="195"/>
      <c r="BZ265" s="195"/>
      <c r="CA265" s="346"/>
      <c r="CB265" s="195"/>
      <c r="CC265" s="195"/>
    </row>
    <row r="266" spans="1:81" ht="15.75" customHeight="1">
      <c r="A266" s="203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202"/>
      <c r="AI266" s="195"/>
      <c r="AJ266" s="202"/>
      <c r="AK266" s="195"/>
      <c r="AL266" s="195"/>
      <c r="AM266" s="202"/>
      <c r="AN266" s="195"/>
      <c r="AO266" s="202"/>
      <c r="AP266" s="195"/>
      <c r="AQ266" s="195"/>
      <c r="AR266" s="202"/>
      <c r="AS266" s="195"/>
      <c r="AT266" s="202"/>
      <c r="AU266" s="195"/>
      <c r="AV266" s="195"/>
      <c r="AW266" s="195"/>
      <c r="AX266" s="195"/>
      <c r="AY266" s="195"/>
      <c r="AZ266" s="195"/>
      <c r="BA266" s="195"/>
      <c r="BB266" s="195"/>
      <c r="BC266" s="195"/>
      <c r="BD266" s="195"/>
      <c r="BF266" s="195"/>
      <c r="BG266" s="195"/>
      <c r="BH266" s="195"/>
      <c r="BI266" s="195"/>
      <c r="BW266" s="195"/>
      <c r="BY266" s="195"/>
      <c r="BZ266" s="195"/>
      <c r="CA266" s="346"/>
      <c r="CB266" s="195"/>
      <c r="CC266" s="195"/>
    </row>
    <row r="267" spans="1:81" ht="15.75" customHeight="1">
      <c r="A267" s="203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202"/>
      <c r="AI267" s="195"/>
      <c r="AJ267" s="202"/>
      <c r="AK267" s="195"/>
      <c r="AL267" s="195"/>
      <c r="AM267" s="202"/>
      <c r="AN267" s="195"/>
      <c r="AO267" s="202"/>
      <c r="AP267" s="195"/>
      <c r="AQ267" s="195"/>
      <c r="AR267" s="202"/>
      <c r="AS267" s="195"/>
      <c r="AT267" s="202"/>
      <c r="AU267" s="195"/>
      <c r="AV267" s="195"/>
      <c r="AW267" s="195"/>
      <c r="AX267" s="195"/>
      <c r="AY267" s="195"/>
      <c r="AZ267" s="195"/>
      <c r="BA267" s="195"/>
      <c r="BB267" s="195"/>
      <c r="BC267" s="195"/>
      <c r="BD267" s="195"/>
      <c r="BF267" s="195"/>
      <c r="BG267" s="195"/>
      <c r="BH267" s="195"/>
      <c r="BI267" s="195"/>
      <c r="BW267" s="195"/>
      <c r="BY267" s="195"/>
      <c r="BZ267" s="195"/>
      <c r="CA267" s="346"/>
      <c r="CB267" s="195"/>
      <c r="CC267" s="195"/>
    </row>
    <row r="268" spans="1:81" ht="15.75" customHeight="1">
      <c r="A268" s="203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208"/>
      <c r="AI268" s="195"/>
      <c r="AJ268" s="202"/>
      <c r="AK268" s="195"/>
      <c r="AL268" s="195"/>
      <c r="AM268" s="208"/>
      <c r="AN268" s="195"/>
      <c r="AO268" s="202"/>
      <c r="AP268" s="195"/>
      <c r="AQ268" s="195"/>
      <c r="AR268" s="208"/>
      <c r="AS268" s="195"/>
      <c r="AT268" s="202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F268" s="195"/>
      <c r="BG268" s="195"/>
      <c r="BH268" s="195"/>
      <c r="BI268" s="195"/>
      <c r="BW268" s="195"/>
      <c r="BY268" s="195"/>
      <c r="BZ268" s="195"/>
      <c r="CA268" s="346"/>
      <c r="CB268" s="195"/>
      <c r="CC268" s="195"/>
    </row>
    <row r="269" spans="1:81" ht="15.75" customHeight="1">
      <c r="A269" s="203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207"/>
      <c r="AI269" s="195"/>
      <c r="AJ269" s="202"/>
      <c r="AK269" s="195"/>
      <c r="AL269" s="195"/>
      <c r="AM269" s="207"/>
      <c r="AN269" s="195"/>
      <c r="AO269" s="202"/>
      <c r="AP269" s="195"/>
      <c r="AQ269" s="195"/>
      <c r="AR269" s="207"/>
      <c r="AS269" s="195"/>
      <c r="AT269" s="202"/>
      <c r="AU269" s="195"/>
      <c r="AV269" s="195"/>
      <c r="AW269" s="195"/>
      <c r="AX269" s="195"/>
      <c r="AY269" s="195"/>
      <c r="AZ269" s="195"/>
      <c r="BA269" s="195"/>
      <c r="BB269" s="195"/>
      <c r="BC269" s="195"/>
      <c r="BD269" s="195"/>
      <c r="BF269" s="195"/>
      <c r="BG269" s="195"/>
      <c r="BH269" s="195"/>
      <c r="BI269" s="195"/>
      <c r="BW269" s="195"/>
      <c r="BY269" s="195"/>
      <c r="BZ269" s="195"/>
      <c r="CA269" s="346"/>
      <c r="CB269" s="195"/>
      <c r="CC269" s="195"/>
    </row>
    <row r="270" spans="1:81" ht="15.75" customHeight="1">
      <c r="A270" s="198"/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C270" s="199"/>
      <c r="AD270" s="199"/>
      <c r="AE270" s="199"/>
      <c r="AF270" s="199"/>
      <c r="AG270" s="199"/>
      <c r="AH270" s="199"/>
      <c r="AI270" s="199"/>
      <c r="AJ270" s="199"/>
      <c r="AK270" s="199"/>
      <c r="AL270" s="199"/>
      <c r="AM270" s="199"/>
      <c r="AN270" s="199"/>
      <c r="AO270" s="199"/>
      <c r="AP270" s="199"/>
      <c r="AQ270" s="199"/>
      <c r="AR270" s="199"/>
      <c r="AS270" s="199"/>
      <c r="AT270" s="199"/>
      <c r="AU270" s="199"/>
      <c r="AV270" s="199"/>
      <c r="AW270" s="199"/>
      <c r="AX270" s="199"/>
      <c r="AY270" s="199"/>
      <c r="AZ270" s="199"/>
      <c r="BA270" s="199"/>
      <c r="BB270" s="199"/>
      <c r="BC270" s="199"/>
      <c r="BD270" s="199"/>
      <c r="BE270" s="200"/>
      <c r="BF270" s="199"/>
      <c r="BG270" s="199"/>
      <c r="BH270" s="199"/>
      <c r="BI270" s="199"/>
      <c r="BJ270" s="200"/>
      <c r="BW270" s="199"/>
      <c r="BY270" s="199"/>
      <c r="BZ270" s="199"/>
      <c r="CA270" s="348"/>
      <c r="CB270" s="199"/>
      <c r="CC270" s="199"/>
    </row>
    <row r="271" spans="1:81" ht="15.75" customHeight="1">
      <c r="A271" s="203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202"/>
      <c r="AI271" s="195"/>
      <c r="AJ271" s="202"/>
      <c r="AK271" s="195"/>
      <c r="AL271" s="195"/>
      <c r="AM271" s="202"/>
      <c r="AN271" s="195"/>
      <c r="AO271" s="202"/>
      <c r="AP271" s="195"/>
      <c r="AQ271" s="195"/>
      <c r="AR271" s="202"/>
      <c r="AS271" s="195"/>
      <c r="AT271" s="202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F271" s="195"/>
      <c r="BG271" s="195"/>
      <c r="BH271" s="195"/>
      <c r="BI271" s="195"/>
      <c r="BW271" s="195"/>
      <c r="BY271" s="195"/>
      <c r="BZ271" s="195"/>
      <c r="CA271" s="346"/>
      <c r="CB271" s="195"/>
      <c r="CC271" s="195"/>
    </row>
    <row r="272" spans="1:81" ht="15.75" customHeight="1">
      <c r="A272" s="203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202"/>
      <c r="AI272" s="195"/>
      <c r="AJ272" s="202"/>
      <c r="AK272" s="195"/>
      <c r="AL272" s="195"/>
      <c r="AM272" s="202"/>
      <c r="AN272" s="195"/>
      <c r="AO272" s="202"/>
      <c r="AP272" s="195"/>
      <c r="AQ272" s="195"/>
      <c r="AR272" s="202"/>
      <c r="AS272" s="195"/>
      <c r="AT272" s="202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F272" s="195"/>
      <c r="BG272" s="195"/>
      <c r="BH272" s="195"/>
      <c r="BI272" s="195"/>
      <c r="BW272" s="195"/>
      <c r="BY272" s="195"/>
      <c r="BZ272" s="195"/>
      <c r="CA272" s="346"/>
      <c r="CB272" s="195"/>
      <c r="CC272" s="195"/>
    </row>
    <row r="273" spans="1:81" ht="15.75" customHeight="1">
      <c r="A273" s="203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202"/>
      <c r="AI273" s="195"/>
      <c r="AJ273" s="202"/>
      <c r="AK273" s="195"/>
      <c r="AL273" s="195"/>
      <c r="AM273" s="202"/>
      <c r="AN273" s="195"/>
      <c r="AO273" s="202"/>
      <c r="AP273" s="195"/>
      <c r="AQ273" s="195"/>
      <c r="AR273" s="202"/>
      <c r="AS273" s="195"/>
      <c r="AT273" s="202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F273" s="195"/>
      <c r="BG273" s="195"/>
      <c r="BH273" s="195"/>
      <c r="BI273" s="195"/>
      <c r="BW273" s="195"/>
      <c r="BY273" s="195"/>
      <c r="BZ273" s="195"/>
      <c r="CA273" s="346"/>
      <c r="CB273" s="195"/>
      <c r="CC273" s="195"/>
    </row>
    <row r="274" spans="1:81" ht="15.75" customHeight="1">
      <c r="A274" s="203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202"/>
      <c r="AI274" s="195"/>
      <c r="AJ274" s="202"/>
      <c r="AK274" s="195"/>
      <c r="AL274" s="195"/>
      <c r="AM274" s="202"/>
      <c r="AN274" s="195"/>
      <c r="AO274" s="202"/>
      <c r="AP274" s="195"/>
      <c r="AQ274" s="195"/>
      <c r="AR274" s="202"/>
      <c r="AS274" s="195"/>
      <c r="AT274" s="202"/>
      <c r="AU274" s="195"/>
      <c r="AV274" s="195"/>
      <c r="AW274" s="195"/>
      <c r="AX274" s="195"/>
      <c r="AY274" s="195"/>
      <c r="AZ274" s="195"/>
      <c r="BA274" s="195"/>
      <c r="BB274" s="195"/>
      <c r="BC274" s="195"/>
      <c r="BD274" s="195"/>
      <c r="BF274" s="195"/>
      <c r="BG274" s="195"/>
      <c r="BH274" s="195"/>
      <c r="BI274" s="195"/>
      <c r="BW274" s="195"/>
      <c r="BY274" s="195"/>
      <c r="BZ274" s="195"/>
      <c r="CA274" s="346"/>
      <c r="CB274" s="195"/>
      <c r="CC274" s="195"/>
    </row>
    <row r="275" spans="1:81" ht="15.75" customHeight="1">
      <c r="A275" s="203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202"/>
      <c r="AI275" s="195"/>
      <c r="AJ275" s="202"/>
      <c r="AK275" s="195"/>
      <c r="AL275" s="195"/>
      <c r="AM275" s="202"/>
      <c r="AN275" s="195"/>
      <c r="AO275" s="202"/>
      <c r="AP275" s="195"/>
      <c r="AQ275" s="195"/>
      <c r="AR275" s="202"/>
      <c r="AS275" s="195"/>
      <c r="AT275" s="202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F275" s="195"/>
      <c r="BG275" s="195"/>
      <c r="BH275" s="195"/>
      <c r="BI275" s="195"/>
      <c r="BW275" s="195"/>
      <c r="BY275" s="195"/>
      <c r="BZ275" s="195"/>
      <c r="CA275" s="346"/>
      <c r="CB275" s="195"/>
      <c r="CC275" s="195"/>
    </row>
    <row r="276" spans="1:81" ht="15.75" customHeight="1">
      <c r="A276" s="203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202"/>
      <c r="AI276" s="195"/>
      <c r="AJ276" s="202"/>
      <c r="AK276" s="195"/>
      <c r="AL276" s="195"/>
      <c r="AM276" s="202"/>
      <c r="AN276" s="195"/>
      <c r="AO276" s="202"/>
      <c r="AP276" s="195"/>
      <c r="AQ276" s="195"/>
      <c r="AR276" s="202"/>
      <c r="AS276" s="195"/>
      <c r="AT276" s="202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195"/>
      <c r="BF276" s="195"/>
      <c r="BG276" s="195"/>
      <c r="BH276" s="195"/>
      <c r="BI276" s="195"/>
      <c r="BW276" s="195"/>
      <c r="BY276" s="195"/>
      <c r="BZ276" s="195"/>
      <c r="CA276" s="346"/>
      <c r="CB276" s="195"/>
      <c r="CC276" s="195"/>
    </row>
    <row r="277" spans="1:81" ht="15.75" customHeight="1">
      <c r="A277" s="203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202"/>
      <c r="AI277" s="195"/>
      <c r="AJ277" s="202"/>
      <c r="AK277" s="195"/>
      <c r="AL277" s="195"/>
      <c r="AM277" s="202"/>
      <c r="AN277" s="195"/>
      <c r="AO277" s="202"/>
      <c r="AP277" s="195"/>
      <c r="AQ277" s="195"/>
      <c r="AR277" s="202"/>
      <c r="AS277" s="195"/>
      <c r="AT277" s="202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F277" s="195"/>
      <c r="BG277" s="195"/>
      <c r="BH277" s="195"/>
      <c r="BI277" s="195"/>
      <c r="BW277" s="195"/>
      <c r="BY277" s="195"/>
      <c r="BZ277" s="195"/>
      <c r="CA277" s="346"/>
      <c r="CB277" s="195"/>
      <c r="CC277" s="195"/>
    </row>
    <row r="278" spans="1:81" ht="15.75" customHeight="1">
      <c r="A278" s="203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202"/>
      <c r="AI278" s="195"/>
      <c r="AJ278" s="202"/>
      <c r="AK278" s="195"/>
      <c r="AL278" s="195"/>
      <c r="AM278" s="202"/>
      <c r="AN278" s="195"/>
      <c r="AO278" s="202"/>
      <c r="AP278" s="195"/>
      <c r="AQ278" s="195"/>
      <c r="AR278" s="202"/>
      <c r="AS278" s="195"/>
      <c r="AT278" s="202"/>
      <c r="AU278" s="195"/>
      <c r="AV278" s="195"/>
      <c r="AW278" s="195"/>
      <c r="AX278" s="195"/>
      <c r="AY278" s="195"/>
      <c r="AZ278" s="195"/>
      <c r="BA278" s="195"/>
      <c r="BB278" s="195"/>
      <c r="BC278" s="195"/>
      <c r="BD278" s="195"/>
      <c r="BF278" s="195"/>
      <c r="BG278" s="195"/>
      <c r="BH278" s="195"/>
      <c r="BI278" s="195"/>
      <c r="BW278" s="195"/>
      <c r="BY278" s="195"/>
      <c r="BZ278" s="195"/>
      <c r="CA278" s="346"/>
      <c r="CB278" s="195"/>
      <c r="CC278" s="195"/>
    </row>
    <row r="279" spans="1:81" ht="15.75" customHeight="1">
      <c r="A279" s="203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202"/>
      <c r="AI279" s="195"/>
      <c r="AJ279" s="202"/>
      <c r="AK279" s="195"/>
      <c r="AL279" s="195"/>
      <c r="AM279" s="202"/>
      <c r="AN279" s="195"/>
      <c r="AO279" s="202"/>
      <c r="AP279" s="195"/>
      <c r="AQ279" s="195"/>
      <c r="AR279" s="202"/>
      <c r="AS279" s="195"/>
      <c r="AT279" s="202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F279" s="195"/>
      <c r="BG279" s="195"/>
      <c r="BH279" s="195"/>
      <c r="BI279" s="195"/>
      <c r="BW279" s="195"/>
      <c r="BY279" s="195"/>
      <c r="BZ279" s="195"/>
      <c r="CA279" s="346"/>
      <c r="CB279" s="195"/>
      <c r="CC279" s="195"/>
    </row>
    <row r="280" spans="1:81" ht="15.75" customHeight="1">
      <c r="A280" s="203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202"/>
      <c r="AI280" s="195"/>
      <c r="AJ280" s="202"/>
      <c r="AK280" s="195"/>
      <c r="AL280" s="195"/>
      <c r="AM280" s="202"/>
      <c r="AN280" s="195"/>
      <c r="AO280" s="202"/>
      <c r="AP280" s="195"/>
      <c r="AQ280" s="195"/>
      <c r="AR280" s="202"/>
      <c r="AS280" s="195"/>
      <c r="AT280" s="202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F280" s="195"/>
      <c r="BG280" s="195"/>
      <c r="BH280" s="195"/>
      <c r="BI280" s="195"/>
      <c r="BW280" s="195"/>
      <c r="BY280" s="195"/>
      <c r="BZ280" s="195"/>
      <c r="CA280" s="346"/>
      <c r="CB280" s="195"/>
      <c r="CC280" s="195"/>
    </row>
    <row r="281" spans="1:81" ht="15.75" customHeight="1">
      <c r="A281" s="203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202"/>
      <c r="AI281" s="195"/>
      <c r="AJ281" s="202"/>
      <c r="AK281" s="195"/>
      <c r="AL281" s="195"/>
      <c r="AM281" s="202"/>
      <c r="AN281" s="195"/>
      <c r="AO281" s="202"/>
      <c r="AP281" s="195"/>
      <c r="AQ281" s="195"/>
      <c r="AR281" s="202"/>
      <c r="AS281" s="195"/>
      <c r="AT281" s="202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F281" s="195"/>
      <c r="BG281" s="195"/>
      <c r="BH281" s="195"/>
      <c r="BI281" s="195"/>
      <c r="BW281" s="195"/>
      <c r="BY281" s="195"/>
      <c r="BZ281" s="195"/>
      <c r="CA281" s="346"/>
      <c r="CB281" s="195"/>
      <c r="CC281" s="195"/>
    </row>
    <row r="282" spans="1:81" ht="15.75" customHeight="1">
      <c r="A282" s="203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202"/>
      <c r="AI282" s="195"/>
      <c r="AJ282" s="202"/>
      <c r="AK282" s="195"/>
      <c r="AL282" s="195"/>
      <c r="AM282" s="202"/>
      <c r="AN282" s="195"/>
      <c r="AO282" s="202"/>
      <c r="AP282" s="195"/>
      <c r="AQ282" s="195"/>
      <c r="AR282" s="202"/>
      <c r="AS282" s="195"/>
      <c r="AT282" s="202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F282" s="195"/>
      <c r="BG282" s="195"/>
      <c r="BH282" s="195"/>
      <c r="BI282" s="195"/>
      <c r="BW282" s="195"/>
      <c r="BY282" s="195"/>
      <c r="BZ282" s="195"/>
      <c r="CA282" s="346"/>
      <c r="CB282" s="195"/>
      <c r="CC282" s="195"/>
    </row>
    <row r="283" spans="1:81" ht="15.75" customHeight="1">
      <c r="A283" s="198"/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  <c r="AO283" s="199"/>
      <c r="AP283" s="199"/>
      <c r="AQ283" s="199"/>
      <c r="AR283" s="199"/>
      <c r="AS283" s="199"/>
      <c r="AT283" s="199"/>
      <c r="AU283" s="199"/>
      <c r="AV283" s="199"/>
      <c r="AW283" s="199"/>
      <c r="AX283" s="199"/>
      <c r="AY283" s="199"/>
      <c r="AZ283" s="199"/>
      <c r="BA283" s="199"/>
      <c r="BB283" s="199"/>
      <c r="BC283" s="199"/>
      <c r="BD283" s="199"/>
      <c r="BE283" s="200"/>
      <c r="BF283" s="199"/>
      <c r="BG283" s="199"/>
      <c r="BH283" s="199"/>
      <c r="BI283" s="199"/>
      <c r="BJ283" s="200"/>
      <c r="BW283" s="199"/>
      <c r="BY283" s="199"/>
      <c r="BZ283" s="199"/>
      <c r="CA283" s="348"/>
      <c r="CB283" s="199"/>
      <c r="CC283" s="199"/>
    </row>
    <row r="284" spans="1:81" s="211" customFormat="1" ht="15.75" customHeight="1">
      <c r="A284" s="212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213"/>
      <c r="T284" s="213"/>
      <c r="U284" s="213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213"/>
      <c r="AH284" s="202"/>
      <c r="AI284" s="213"/>
      <c r="AJ284" s="202"/>
      <c r="AK284" s="195"/>
      <c r="AL284" s="213"/>
      <c r="AM284" s="202"/>
      <c r="AN284" s="213"/>
      <c r="AO284" s="202"/>
      <c r="AP284" s="195"/>
      <c r="AQ284" s="213"/>
      <c r="AR284" s="202"/>
      <c r="AS284" s="213"/>
      <c r="AT284" s="202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F284" s="195"/>
      <c r="BG284" s="195"/>
      <c r="BH284" s="195"/>
      <c r="BI284" s="195"/>
      <c r="BP284" s="310"/>
      <c r="BQ284" s="310"/>
      <c r="BR284" s="310"/>
      <c r="BS284" s="310"/>
      <c r="BT284" s="310"/>
      <c r="BV284" s="310"/>
      <c r="BW284" s="195"/>
      <c r="BY284" s="195"/>
      <c r="BZ284" s="195"/>
      <c r="CA284" s="346"/>
      <c r="CB284" s="195"/>
      <c r="CC284" s="195"/>
    </row>
    <row r="285" spans="1:81" ht="15.75" customHeight="1">
      <c r="A285" s="203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202"/>
      <c r="AI285" s="195"/>
      <c r="AJ285" s="202"/>
      <c r="AK285" s="195"/>
      <c r="AL285" s="195"/>
      <c r="AM285" s="202"/>
      <c r="AN285" s="195"/>
      <c r="AO285" s="202"/>
      <c r="AP285" s="195"/>
      <c r="AQ285" s="195"/>
      <c r="AR285" s="202"/>
      <c r="AS285" s="195"/>
      <c r="AT285" s="202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F285" s="195"/>
      <c r="BG285" s="195"/>
      <c r="BH285" s="195"/>
      <c r="BI285" s="195"/>
      <c r="BW285" s="195"/>
      <c r="BY285" s="195"/>
      <c r="BZ285" s="195"/>
      <c r="CA285" s="346"/>
      <c r="CB285" s="195"/>
      <c r="CC285" s="195"/>
    </row>
    <row r="286" spans="1:81" ht="15.75" customHeight="1">
      <c r="A286" s="203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202"/>
      <c r="AI286" s="195"/>
      <c r="AJ286" s="202"/>
      <c r="AK286" s="195"/>
      <c r="AL286" s="195"/>
      <c r="AM286" s="202"/>
      <c r="AN286" s="195"/>
      <c r="AO286" s="202"/>
      <c r="AP286" s="195"/>
      <c r="AQ286" s="195"/>
      <c r="AR286" s="202"/>
      <c r="AS286" s="195"/>
      <c r="AT286" s="202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195"/>
      <c r="BF286" s="195"/>
      <c r="BG286" s="195"/>
      <c r="BH286" s="195"/>
      <c r="BI286" s="195"/>
      <c r="BW286" s="195"/>
      <c r="BY286" s="195"/>
      <c r="BZ286" s="195"/>
      <c r="CA286" s="346"/>
      <c r="CB286" s="195"/>
      <c r="CC286" s="195"/>
    </row>
    <row r="287" spans="1:81" ht="15.75" customHeight="1">
      <c r="A287" s="203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202"/>
      <c r="AI287" s="195"/>
      <c r="AJ287" s="202"/>
      <c r="AK287" s="195"/>
      <c r="AL287" s="195"/>
      <c r="AM287" s="202"/>
      <c r="AN287" s="195"/>
      <c r="AO287" s="202"/>
      <c r="AP287" s="195"/>
      <c r="AQ287" s="195"/>
      <c r="AR287" s="202"/>
      <c r="AS287" s="195"/>
      <c r="AT287" s="202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195"/>
      <c r="BF287" s="195"/>
      <c r="BG287" s="195"/>
      <c r="BH287" s="195"/>
      <c r="BI287" s="195"/>
      <c r="BW287" s="195"/>
      <c r="BY287" s="195"/>
      <c r="BZ287" s="195"/>
      <c r="CA287" s="346"/>
      <c r="CB287" s="195"/>
      <c r="CC287" s="195"/>
    </row>
    <row r="288" spans="1:81" ht="15.75" customHeight="1">
      <c r="A288" s="203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202"/>
      <c r="AI288" s="195"/>
      <c r="AJ288" s="202"/>
      <c r="AK288" s="195"/>
      <c r="AL288" s="195"/>
      <c r="AM288" s="202"/>
      <c r="AN288" s="195"/>
      <c r="AO288" s="202"/>
      <c r="AP288" s="195"/>
      <c r="AQ288" s="195"/>
      <c r="AR288" s="202"/>
      <c r="AS288" s="195"/>
      <c r="AT288" s="202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F288" s="195"/>
      <c r="BG288" s="195"/>
      <c r="BH288" s="195"/>
      <c r="BI288" s="195"/>
      <c r="BW288" s="195"/>
      <c r="BY288" s="195"/>
      <c r="BZ288" s="195"/>
      <c r="CA288" s="346"/>
      <c r="CB288" s="195"/>
      <c r="CC288" s="195"/>
    </row>
    <row r="289" spans="1:81" ht="15.75" customHeight="1">
      <c r="A289" s="203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207"/>
      <c r="AI289" s="195"/>
      <c r="AJ289" s="202"/>
      <c r="AK289" s="195"/>
      <c r="AL289" s="195"/>
      <c r="AM289" s="207"/>
      <c r="AN289" s="195"/>
      <c r="AO289" s="202"/>
      <c r="AP289" s="195"/>
      <c r="AQ289" s="195"/>
      <c r="AR289" s="207"/>
      <c r="AS289" s="195"/>
      <c r="AT289" s="202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F289" s="195"/>
      <c r="BG289" s="195"/>
      <c r="BH289" s="195"/>
      <c r="BI289" s="195"/>
      <c r="BW289" s="195"/>
      <c r="BY289" s="195"/>
      <c r="BZ289" s="195"/>
      <c r="CA289" s="346"/>
      <c r="CB289" s="195"/>
      <c r="CC289" s="195"/>
    </row>
    <row r="290" spans="1:81" ht="15.75" customHeight="1">
      <c r="A290" s="203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202"/>
      <c r="AI290" s="195"/>
      <c r="AJ290" s="202"/>
      <c r="AK290" s="195"/>
      <c r="AL290" s="195"/>
      <c r="AM290" s="202"/>
      <c r="AN290" s="195"/>
      <c r="AO290" s="202"/>
      <c r="AP290" s="195"/>
      <c r="AQ290" s="195"/>
      <c r="AR290" s="202"/>
      <c r="AS290" s="195"/>
      <c r="AT290" s="202"/>
      <c r="AU290" s="195"/>
      <c r="AV290" s="195"/>
      <c r="AW290" s="195"/>
      <c r="AX290" s="195"/>
      <c r="AY290" s="195"/>
      <c r="AZ290" s="195"/>
      <c r="BA290" s="195"/>
      <c r="BB290" s="195"/>
      <c r="BC290" s="195"/>
      <c r="BD290" s="195"/>
      <c r="BF290" s="195"/>
      <c r="BG290" s="195"/>
      <c r="BH290" s="195"/>
      <c r="BI290" s="195"/>
      <c r="BW290" s="195"/>
      <c r="BY290" s="195"/>
      <c r="BZ290" s="195"/>
      <c r="CA290" s="346"/>
      <c r="CB290" s="195"/>
      <c r="CC290" s="195"/>
    </row>
    <row r="291" spans="1:81" ht="15.75" customHeight="1">
      <c r="A291" s="203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202"/>
      <c r="AI291" s="195"/>
      <c r="AJ291" s="202"/>
      <c r="AK291" s="195"/>
      <c r="AL291" s="195"/>
      <c r="AM291" s="202"/>
      <c r="AN291" s="195"/>
      <c r="AO291" s="202"/>
      <c r="AP291" s="195"/>
      <c r="AQ291" s="195"/>
      <c r="AR291" s="202"/>
      <c r="AS291" s="195"/>
      <c r="AT291" s="202"/>
      <c r="AU291" s="195"/>
      <c r="AV291" s="195"/>
      <c r="AW291" s="195"/>
      <c r="AX291" s="195"/>
      <c r="AY291" s="195"/>
      <c r="AZ291" s="195"/>
      <c r="BA291" s="195"/>
      <c r="BB291" s="195"/>
      <c r="BC291" s="195"/>
      <c r="BD291" s="195"/>
      <c r="BF291" s="195"/>
      <c r="BG291" s="195"/>
      <c r="BH291" s="195"/>
      <c r="BI291" s="195"/>
      <c r="BW291" s="195"/>
      <c r="BY291" s="195"/>
      <c r="BZ291" s="195"/>
      <c r="CA291" s="346"/>
      <c r="CB291" s="195"/>
      <c r="CC291" s="195"/>
    </row>
    <row r="292" spans="1:81" ht="15.75" customHeight="1">
      <c r="A292" s="203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202"/>
      <c r="AI292" s="195"/>
      <c r="AJ292" s="202"/>
      <c r="AK292" s="195"/>
      <c r="AL292" s="195"/>
      <c r="AM292" s="202"/>
      <c r="AN292" s="195"/>
      <c r="AO292" s="202"/>
      <c r="AP292" s="195"/>
      <c r="AQ292" s="195"/>
      <c r="AR292" s="202"/>
      <c r="AS292" s="195"/>
      <c r="AT292" s="202"/>
      <c r="AU292" s="195"/>
      <c r="AV292" s="195"/>
      <c r="AW292" s="195"/>
      <c r="AX292" s="195"/>
      <c r="AY292" s="195"/>
      <c r="AZ292" s="195"/>
      <c r="BA292" s="195"/>
      <c r="BB292" s="195"/>
      <c r="BC292" s="195"/>
      <c r="BD292" s="195"/>
      <c r="BF292" s="195"/>
      <c r="BG292" s="195"/>
      <c r="BH292" s="195"/>
      <c r="BI292" s="195"/>
      <c r="BW292" s="195"/>
      <c r="BY292" s="195"/>
      <c r="BZ292" s="195"/>
      <c r="CA292" s="346"/>
      <c r="CB292" s="195"/>
      <c r="CC292" s="195"/>
    </row>
    <row r="293" spans="1:81" ht="15.75" customHeight="1">
      <c r="A293" s="203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202"/>
      <c r="AI293" s="195"/>
      <c r="AJ293" s="202"/>
      <c r="AK293" s="195"/>
      <c r="AL293" s="195"/>
      <c r="AM293" s="202"/>
      <c r="AN293" s="195"/>
      <c r="AO293" s="202"/>
      <c r="AP293" s="195"/>
      <c r="AQ293" s="195"/>
      <c r="AR293" s="202"/>
      <c r="AS293" s="195"/>
      <c r="AT293" s="202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195"/>
      <c r="BF293" s="195"/>
      <c r="BG293" s="195"/>
      <c r="BH293" s="195"/>
      <c r="BI293" s="195"/>
      <c r="BW293" s="195"/>
      <c r="BY293" s="195"/>
      <c r="BZ293" s="195"/>
      <c r="CA293" s="346"/>
      <c r="CB293" s="195"/>
      <c r="CC293" s="195"/>
    </row>
    <row r="294" spans="1:81" ht="15.75" customHeight="1">
      <c r="A294" s="203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202"/>
      <c r="AI294" s="195"/>
      <c r="AJ294" s="202"/>
      <c r="AK294" s="195"/>
      <c r="AL294" s="195"/>
      <c r="AM294" s="202"/>
      <c r="AN294" s="195"/>
      <c r="AO294" s="202"/>
      <c r="AP294" s="195"/>
      <c r="AQ294" s="195"/>
      <c r="AR294" s="202"/>
      <c r="AS294" s="195"/>
      <c r="AT294" s="202"/>
      <c r="AU294" s="195"/>
      <c r="AV294" s="195"/>
      <c r="AW294" s="195"/>
      <c r="AX294" s="195"/>
      <c r="AY294" s="195"/>
      <c r="AZ294" s="195"/>
      <c r="BA294" s="195"/>
      <c r="BB294" s="195"/>
      <c r="BC294" s="195"/>
      <c r="BD294" s="195"/>
      <c r="BF294" s="195"/>
      <c r="BG294" s="195"/>
      <c r="BH294" s="195"/>
      <c r="BI294" s="195"/>
      <c r="BW294" s="195"/>
      <c r="BY294" s="195"/>
      <c r="BZ294" s="195"/>
      <c r="CA294" s="346"/>
      <c r="CB294" s="195"/>
      <c r="CC294" s="195"/>
    </row>
    <row r="295" spans="1:81" ht="15.75" customHeight="1">
      <c r="A295" s="203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202"/>
      <c r="AI295" s="195"/>
      <c r="AJ295" s="202"/>
      <c r="AK295" s="195"/>
      <c r="AL295" s="195"/>
      <c r="AM295" s="202"/>
      <c r="AN295" s="195"/>
      <c r="AO295" s="202"/>
      <c r="AP295" s="195"/>
      <c r="AQ295" s="195"/>
      <c r="AR295" s="202"/>
      <c r="AS295" s="195"/>
      <c r="AT295" s="202"/>
      <c r="AU295" s="195"/>
      <c r="AV295" s="195"/>
      <c r="AW295" s="195"/>
      <c r="AX295" s="195"/>
      <c r="AY295" s="195"/>
      <c r="AZ295" s="195"/>
      <c r="BA295" s="195"/>
      <c r="BB295" s="195"/>
      <c r="BC295" s="195"/>
      <c r="BD295" s="195"/>
      <c r="BF295" s="195"/>
      <c r="BG295" s="195"/>
      <c r="BH295" s="195"/>
      <c r="BI295" s="195"/>
      <c r="BW295" s="195"/>
      <c r="BY295" s="195"/>
      <c r="BZ295" s="195"/>
      <c r="CA295" s="346"/>
      <c r="CB295" s="195"/>
      <c r="CC295" s="195"/>
    </row>
    <row r="296" spans="1:81" ht="15.75" customHeight="1">
      <c r="A296" s="203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202"/>
      <c r="AI296" s="195"/>
      <c r="AJ296" s="202"/>
      <c r="AK296" s="195"/>
      <c r="AL296" s="195"/>
      <c r="AM296" s="202"/>
      <c r="AN296" s="195"/>
      <c r="AO296" s="202"/>
      <c r="AP296" s="195"/>
      <c r="AQ296" s="195"/>
      <c r="AR296" s="202"/>
      <c r="AS296" s="195"/>
      <c r="AT296" s="202"/>
      <c r="AU296" s="195"/>
      <c r="AV296" s="195"/>
      <c r="AW296" s="195"/>
      <c r="AX296" s="195"/>
      <c r="AY296" s="195"/>
      <c r="AZ296" s="195"/>
      <c r="BA296" s="195"/>
      <c r="BB296" s="195"/>
      <c r="BC296" s="195"/>
      <c r="BD296" s="195"/>
      <c r="BF296" s="195"/>
      <c r="BG296" s="195"/>
      <c r="BH296" s="195"/>
      <c r="BI296" s="195"/>
      <c r="BW296" s="195"/>
      <c r="BY296" s="195"/>
      <c r="BZ296" s="195"/>
      <c r="CA296" s="346"/>
      <c r="CB296" s="195"/>
      <c r="CC296" s="195"/>
    </row>
    <row r="297" spans="1:81" ht="15.75" customHeight="1">
      <c r="A297" s="203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202"/>
      <c r="AI297" s="195"/>
      <c r="AJ297" s="202"/>
      <c r="AK297" s="195"/>
      <c r="AL297" s="195"/>
      <c r="AM297" s="202"/>
      <c r="AN297" s="195"/>
      <c r="AO297" s="202"/>
      <c r="AP297" s="195"/>
      <c r="AQ297" s="195"/>
      <c r="AR297" s="202"/>
      <c r="AS297" s="195"/>
      <c r="AT297" s="202"/>
      <c r="AU297" s="195"/>
      <c r="AV297" s="195"/>
      <c r="AW297" s="195"/>
      <c r="AX297" s="195"/>
      <c r="AY297" s="195"/>
      <c r="AZ297" s="195"/>
      <c r="BA297" s="195"/>
      <c r="BB297" s="195"/>
      <c r="BC297" s="195"/>
      <c r="BD297" s="195"/>
      <c r="BF297" s="195"/>
      <c r="BG297" s="195"/>
      <c r="BH297" s="195"/>
      <c r="BI297" s="195"/>
      <c r="BW297" s="195"/>
      <c r="BY297" s="195"/>
      <c r="BZ297" s="195"/>
      <c r="CA297" s="346"/>
      <c r="CB297" s="195"/>
      <c r="CC297" s="195"/>
    </row>
    <row r="298" spans="1:81" ht="15.75" customHeight="1">
      <c r="A298" s="203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202"/>
      <c r="AI298" s="195"/>
      <c r="AJ298" s="202"/>
      <c r="AK298" s="195"/>
      <c r="AL298" s="195"/>
      <c r="AM298" s="202"/>
      <c r="AN298" s="195"/>
      <c r="AO298" s="202"/>
      <c r="AP298" s="195"/>
      <c r="AQ298" s="195"/>
      <c r="AR298" s="202"/>
      <c r="AS298" s="195"/>
      <c r="AT298" s="202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F298" s="195"/>
      <c r="BG298" s="195"/>
      <c r="BH298" s="195"/>
      <c r="BI298" s="195"/>
      <c r="BW298" s="195"/>
      <c r="BY298" s="195"/>
      <c r="BZ298" s="195"/>
      <c r="CA298" s="346"/>
      <c r="CB298" s="195"/>
      <c r="CC298" s="195"/>
    </row>
    <row r="299" spans="1:81" ht="15.75" customHeight="1">
      <c r="A299" s="203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202"/>
      <c r="AI299" s="195"/>
      <c r="AJ299" s="202"/>
      <c r="AK299" s="195"/>
      <c r="AL299" s="195"/>
      <c r="AM299" s="202"/>
      <c r="AN299" s="195"/>
      <c r="AO299" s="202"/>
      <c r="AP299" s="195"/>
      <c r="AQ299" s="195"/>
      <c r="AR299" s="202"/>
      <c r="AS299" s="195"/>
      <c r="AT299" s="202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F299" s="195"/>
      <c r="BG299" s="195"/>
      <c r="BH299" s="195"/>
      <c r="BI299" s="195"/>
      <c r="BW299" s="195"/>
      <c r="BY299" s="195"/>
      <c r="BZ299" s="195"/>
      <c r="CA299" s="346"/>
      <c r="CB299" s="195"/>
      <c r="CC299" s="195"/>
    </row>
    <row r="300" spans="1:81" ht="15.75" customHeight="1">
      <c r="A300" s="198"/>
      <c r="B300" s="199"/>
      <c r="C300" s="199"/>
      <c r="D300" s="199"/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  <c r="AC300" s="199"/>
      <c r="AD300" s="199"/>
      <c r="AE300" s="199"/>
      <c r="AF300" s="199"/>
      <c r="AG300" s="199"/>
      <c r="AH300" s="199"/>
      <c r="AI300" s="199"/>
      <c r="AJ300" s="199"/>
      <c r="AK300" s="199"/>
      <c r="AL300" s="199"/>
      <c r="AM300" s="199"/>
      <c r="AN300" s="199"/>
      <c r="AO300" s="199"/>
      <c r="AP300" s="199"/>
      <c r="AQ300" s="199"/>
      <c r="AR300" s="199"/>
      <c r="AS300" s="199"/>
      <c r="AT300" s="199"/>
      <c r="AU300" s="199"/>
      <c r="AV300" s="199"/>
      <c r="AW300" s="199"/>
      <c r="AX300" s="199"/>
      <c r="AY300" s="199"/>
      <c r="AZ300" s="199"/>
      <c r="BA300" s="199"/>
      <c r="BB300" s="199"/>
      <c r="BC300" s="199"/>
      <c r="BD300" s="199"/>
      <c r="BE300" s="200"/>
      <c r="BF300" s="199"/>
      <c r="BG300" s="199"/>
      <c r="BH300" s="199"/>
      <c r="BI300" s="199"/>
      <c r="BJ300" s="200"/>
      <c r="BW300" s="199"/>
      <c r="BY300" s="199"/>
      <c r="BZ300" s="199"/>
      <c r="CA300" s="348"/>
      <c r="CB300" s="199"/>
      <c r="CC300" s="199"/>
    </row>
    <row r="301" spans="1:81" ht="15.75" customHeight="1">
      <c r="A301" s="204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202"/>
      <c r="AI301" s="195"/>
      <c r="AJ301" s="202"/>
      <c r="AK301" s="195"/>
      <c r="AL301" s="195"/>
      <c r="AM301" s="202"/>
      <c r="AN301" s="195"/>
      <c r="AO301" s="202"/>
      <c r="AP301" s="195"/>
      <c r="AQ301" s="195"/>
      <c r="AR301" s="202"/>
      <c r="AS301" s="195"/>
      <c r="AT301" s="202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F301" s="195"/>
      <c r="BG301" s="195"/>
      <c r="BH301" s="195"/>
      <c r="BI301" s="195"/>
      <c r="BW301" s="195"/>
      <c r="BY301" s="195"/>
      <c r="BZ301" s="195"/>
      <c r="CA301" s="346"/>
      <c r="CB301" s="195"/>
      <c r="CC301" s="195"/>
    </row>
    <row r="302" spans="1:81" ht="15.75" customHeight="1">
      <c r="A302" s="201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202"/>
      <c r="AI302" s="195"/>
      <c r="AJ302" s="202"/>
      <c r="AK302" s="195"/>
      <c r="AL302" s="195"/>
      <c r="AM302" s="202"/>
      <c r="AN302" s="195"/>
      <c r="AO302" s="202"/>
      <c r="AP302" s="195"/>
      <c r="AQ302" s="195"/>
      <c r="AR302" s="202"/>
      <c r="AS302" s="195"/>
      <c r="AT302" s="202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F302" s="195"/>
      <c r="BG302" s="195"/>
      <c r="BH302" s="195"/>
      <c r="BI302" s="195"/>
      <c r="BW302" s="195"/>
      <c r="BY302" s="195"/>
      <c r="BZ302" s="195"/>
      <c r="CA302" s="346"/>
      <c r="CB302" s="195"/>
      <c r="CC302" s="195"/>
    </row>
    <row r="303" spans="1:81" ht="13.5" customHeight="1">
      <c r="A303" s="203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202"/>
      <c r="AI303" s="195"/>
      <c r="AJ303" s="202"/>
      <c r="AK303" s="195"/>
      <c r="AL303" s="195"/>
      <c r="AM303" s="202"/>
      <c r="AN303" s="195"/>
      <c r="AO303" s="202"/>
      <c r="AP303" s="195"/>
      <c r="AQ303" s="195"/>
      <c r="AR303" s="202"/>
      <c r="AS303" s="195"/>
      <c r="AT303" s="202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F303" s="195"/>
      <c r="BG303" s="195"/>
      <c r="BH303" s="195"/>
      <c r="BI303" s="195"/>
      <c r="BW303" s="195"/>
      <c r="BY303" s="195"/>
      <c r="BZ303" s="195"/>
      <c r="CA303" s="346"/>
      <c r="CB303" s="195"/>
      <c r="CC303" s="195"/>
    </row>
    <row r="304" spans="1:81" ht="13.5" customHeight="1">
      <c r="A304" s="203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202"/>
      <c r="AI304" s="195"/>
      <c r="AJ304" s="202"/>
      <c r="AK304" s="195"/>
      <c r="AL304" s="195"/>
      <c r="AM304" s="202"/>
      <c r="AN304" s="195"/>
      <c r="AO304" s="202"/>
      <c r="AP304" s="195"/>
      <c r="AQ304" s="195"/>
      <c r="AR304" s="202"/>
      <c r="AS304" s="195"/>
      <c r="AT304" s="202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F304" s="195"/>
      <c r="BG304" s="195"/>
      <c r="BH304" s="195"/>
      <c r="BI304" s="195"/>
      <c r="BW304" s="195"/>
      <c r="BY304" s="195"/>
      <c r="BZ304" s="195"/>
      <c r="CA304" s="346"/>
      <c r="CB304" s="195"/>
      <c r="CC304" s="195"/>
    </row>
    <row r="305" spans="1:81" ht="15.75" customHeight="1">
      <c r="A305" s="198"/>
      <c r="B305" s="199"/>
      <c r="C305" s="199"/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  <c r="AA305" s="199"/>
      <c r="AB305" s="199"/>
      <c r="AC305" s="199"/>
      <c r="AD305" s="199"/>
      <c r="AE305" s="199"/>
      <c r="AF305" s="199"/>
      <c r="AG305" s="199"/>
      <c r="AH305" s="199"/>
      <c r="AI305" s="199"/>
      <c r="AJ305" s="199"/>
      <c r="AK305" s="199"/>
      <c r="AL305" s="199"/>
      <c r="AM305" s="199"/>
      <c r="AN305" s="199"/>
      <c r="AO305" s="199"/>
      <c r="AP305" s="199"/>
      <c r="AQ305" s="199"/>
      <c r="AR305" s="199"/>
      <c r="AS305" s="199"/>
      <c r="AT305" s="199"/>
      <c r="AU305" s="199"/>
      <c r="AV305" s="199"/>
      <c r="AW305" s="199"/>
      <c r="AX305" s="199"/>
      <c r="AY305" s="199"/>
      <c r="AZ305" s="199"/>
      <c r="BA305" s="199"/>
      <c r="BB305" s="199"/>
      <c r="BC305" s="199"/>
      <c r="BD305" s="199"/>
      <c r="BE305" s="200"/>
      <c r="BF305" s="199"/>
      <c r="BG305" s="199"/>
      <c r="BH305" s="199"/>
      <c r="BI305" s="199"/>
      <c r="BJ305" s="200"/>
      <c r="BW305" s="199"/>
      <c r="BY305" s="199"/>
      <c r="BZ305" s="199"/>
      <c r="CA305" s="348"/>
      <c r="CB305" s="199"/>
      <c r="CC305" s="199"/>
    </row>
    <row r="306" spans="1:81" ht="15.75" customHeight="1">
      <c r="A306" s="204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202"/>
      <c r="AI306" s="195"/>
      <c r="AJ306" s="202"/>
      <c r="AK306" s="195"/>
      <c r="AL306" s="195"/>
      <c r="AM306" s="202"/>
      <c r="AN306" s="195"/>
      <c r="AO306" s="202"/>
      <c r="AP306" s="195"/>
      <c r="AQ306" s="195"/>
      <c r="AR306" s="202"/>
      <c r="AS306" s="195"/>
      <c r="AT306" s="202"/>
      <c r="AU306" s="195"/>
      <c r="AV306" s="195"/>
      <c r="AW306" s="195"/>
      <c r="AX306" s="195"/>
      <c r="AY306" s="195"/>
      <c r="AZ306" s="195"/>
      <c r="BA306" s="195"/>
      <c r="BB306" s="195"/>
      <c r="BC306" s="195"/>
      <c r="BD306" s="195"/>
      <c r="BF306" s="195"/>
      <c r="BG306" s="195"/>
      <c r="BH306" s="195"/>
      <c r="BI306" s="195"/>
      <c r="BW306" s="195"/>
      <c r="BY306" s="195"/>
      <c r="BZ306" s="195"/>
      <c r="CA306" s="346"/>
      <c r="CB306" s="195"/>
      <c r="CC306" s="195"/>
    </row>
    <row r="307" spans="1:81" ht="15.75" customHeight="1">
      <c r="A307" s="201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202"/>
      <c r="AI307" s="195"/>
      <c r="AJ307" s="202"/>
      <c r="AK307" s="195"/>
      <c r="AL307" s="195"/>
      <c r="AM307" s="202"/>
      <c r="AN307" s="195"/>
      <c r="AO307" s="202"/>
      <c r="AP307" s="195"/>
      <c r="AQ307" s="195"/>
      <c r="AR307" s="202"/>
      <c r="AS307" s="195"/>
      <c r="AT307" s="202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F307" s="195"/>
      <c r="BG307" s="195"/>
      <c r="BH307" s="195"/>
      <c r="BI307" s="195"/>
      <c r="BW307" s="195"/>
      <c r="BY307" s="195"/>
      <c r="BZ307" s="195"/>
      <c r="CA307" s="346"/>
      <c r="CB307" s="195"/>
      <c r="CC307" s="195"/>
    </row>
    <row r="308" spans="1:81" ht="15.75" customHeight="1">
      <c r="A308" s="203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202"/>
      <c r="AI308" s="195"/>
      <c r="AJ308" s="202"/>
      <c r="AK308" s="195"/>
      <c r="AL308" s="195"/>
      <c r="AM308" s="202"/>
      <c r="AN308" s="195"/>
      <c r="AO308" s="202"/>
      <c r="AP308" s="195"/>
      <c r="AQ308" s="195"/>
      <c r="AR308" s="202"/>
      <c r="AS308" s="195"/>
      <c r="AT308" s="202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F308" s="195"/>
      <c r="BG308" s="195"/>
      <c r="BH308" s="195"/>
      <c r="BI308" s="195"/>
      <c r="BW308" s="195"/>
      <c r="BY308" s="195"/>
      <c r="BZ308" s="195"/>
      <c r="CA308" s="346"/>
      <c r="CB308" s="195"/>
      <c r="CC308" s="195"/>
    </row>
    <row r="309" spans="1:81" ht="15.75" customHeight="1">
      <c r="A309" s="203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202"/>
      <c r="AI309" s="195"/>
      <c r="AJ309" s="202"/>
      <c r="AK309" s="195"/>
      <c r="AL309" s="195"/>
      <c r="AM309" s="202"/>
      <c r="AN309" s="195"/>
      <c r="AO309" s="202"/>
      <c r="AP309" s="195"/>
      <c r="AQ309" s="195"/>
      <c r="AR309" s="202"/>
      <c r="AS309" s="195"/>
      <c r="AT309" s="202"/>
      <c r="AU309" s="195"/>
      <c r="AV309" s="195"/>
      <c r="AW309" s="195"/>
      <c r="AX309" s="195"/>
      <c r="AY309" s="195"/>
      <c r="AZ309" s="195"/>
      <c r="BA309" s="195"/>
      <c r="BB309" s="195"/>
      <c r="BC309" s="195"/>
      <c r="BD309" s="195"/>
      <c r="BF309" s="195"/>
      <c r="BG309" s="195"/>
      <c r="BH309" s="195"/>
      <c r="BI309" s="195"/>
      <c r="BW309" s="195"/>
      <c r="BY309" s="195"/>
      <c r="BZ309" s="195"/>
      <c r="CA309" s="346"/>
      <c r="CB309" s="195"/>
      <c r="CC309" s="195"/>
    </row>
    <row r="310" spans="1:81" ht="15.75" customHeight="1">
      <c r="A310" s="198"/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  <c r="AA310" s="199"/>
      <c r="AB310" s="199"/>
      <c r="AC310" s="199"/>
      <c r="AD310" s="199"/>
      <c r="AE310" s="199"/>
      <c r="AF310" s="199"/>
      <c r="AG310" s="199"/>
      <c r="AH310" s="199"/>
      <c r="AI310" s="199"/>
      <c r="AJ310" s="199"/>
      <c r="AK310" s="199"/>
      <c r="AL310" s="199"/>
      <c r="AM310" s="199"/>
      <c r="AN310" s="199"/>
      <c r="AO310" s="199"/>
      <c r="AP310" s="199"/>
      <c r="AQ310" s="199"/>
      <c r="AR310" s="199"/>
      <c r="AS310" s="199"/>
      <c r="AT310" s="199"/>
      <c r="AU310" s="199"/>
      <c r="AV310" s="199"/>
      <c r="AW310" s="199"/>
      <c r="AX310" s="199"/>
      <c r="AY310" s="199"/>
      <c r="AZ310" s="199"/>
      <c r="BA310" s="199"/>
      <c r="BB310" s="199"/>
      <c r="BC310" s="199"/>
      <c r="BD310" s="199"/>
      <c r="BE310" s="200"/>
      <c r="BF310" s="199"/>
      <c r="BG310" s="199"/>
      <c r="BH310" s="199"/>
      <c r="BI310" s="199"/>
      <c r="BJ310" s="200"/>
      <c r="BW310" s="199"/>
      <c r="BY310" s="199"/>
      <c r="BZ310" s="199"/>
      <c r="CA310" s="348"/>
      <c r="CB310" s="199"/>
      <c r="CC310" s="199"/>
    </row>
    <row r="311" spans="1:81" s="211" customFormat="1" ht="17.25" customHeight="1">
      <c r="A311" s="214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195"/>
      <c r="R311" s="213"/>
      <c r="S311" s="213"/>
      <c r="T311" s="213"/>
      <c r="U311" s="213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213"/>
      <c r="AH311" s="202"/>
      <c r="AI311" s="213"/>
      <c r="AJ311" s="202"/>
      <c r="AK311" s="195"/>
      <c r="AL311" s="213"/>
      <c r="AM311" s="202"/>
      <c r="AN311" s="213"/>
      <c r="AO311" s="202"/>
      <c r="AP311" s="195"/>
      <c r="AQ311" s="213"/>
      <c r="AR311" s="202"/>
      <c r="AS311" s="213"/>
      <c r="AT311" s="206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F311" s="195"/>
      <c r="BG311" s="195"/>
      <c r="BH311" s="195"/>
      <c r="BI311" s="195"/>
      <c r="BP311" s="310"/>
      <c r="BQ311" s="310"/>
      <c r="BR311" s="310"/>
      <c r="BS311" s="310"/>
      <c r="BT311" s="310"/>
      <c r="BV311" s="310"/>
      <c r="BW311" s="213"/>
      <c r="BY311" s="195"/>
      <c r="BZ311" s="195"/>
      <c r="CA311" s="346"/>
      <c r="CB311" s="195"/>
      <c r="CC311" s="195"/>
    </row>
    <row r="312" spans="1:81" ht="15.75" customHeight="1">
      <c r="A312" s="201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202"/>
      <c r="AI312" s="195"/>
      <c r="AJ312" s="202"/>
      <c r="AK312" s="195"/>
      <c r="AL312" s="195"/>
      <c r="AM312" s="202"/>
      <c r="AN312" s="195"/>
      <c r="AO312" s="202"/>
      <c r="AP312" s="195"/>
      <c r="AQ312" s="195"/>
      <c r="AR312" s="202"/>
      <c r="AS312" s="195"/>
      <c r="AT312" s="202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F312" s="195"/>
      <c r="BG312" s="195"/>
      <c r="BH312" s="195"/>
      <c r="BI312" s="195"/>
      <c r="BW312" s="195"/>
      <c r="BY312" s="195"/>
      <c r="BZ312" s="195"/>
      <c r="CA312" s="346"/>
      <c r="CB312" s="195"/>
      <c r="CC312" s="195"/>
    </row>
    <row r="313" spans="1:81" ht="15.75" customHeight="1">
      <c r="A313" s="203"/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202"/>
      <c r="AI313" s="195"/>
      <c r="AJ313" s="202"/>
      <c r="AK313" s="195"/>
      <c r="AL313" s="195"/>
      <c r="AM313" s="202"/>
      <c r="AN313" s="195"/>
      <c r="AO313" s="202"/>
      <c r="AP313" s="195"/>
      <c r="AQ313" s="195"/>
      <c r="AR313" s="202"/>
      <c r="AS313" s="195"/>
      <c r="AT313" s="202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F313" s="195"/>
      <c r="BG313" s="195"/>
      <c r="BH313" s="195"/>
      <c r="BI313" s="195"/>
      <c r="BW313" s="195"/>
      <c r="BY313" s="195"/>
      <c r="BZ313" s="195"/>
      <c r="CA313" s="346"/>
      <c r="CB313" s="195"/>
      <c r="CC313" s="195"/>
    </row>
    <row r="314" spans="1:81" ht="15.75" customHeight="1">
      <c r="A314" s="203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202"/>
      <c r="AI314" s="195"/>
      <c r="AJ314" s="202"/>
      <c r="AK314" s="195"/>
      <c r="AL314" s="195"/>
      <c r="AM314" s="202"/>
      <c r="AN314" s="195"/>
      <c r="AO314" s="202"/>
      <c r="AP314" s="195"/>
      <c r="AQ314" s="195"/>
      <c r="AR314" s="202"/>
      <c r="AS314" s="195"/>
      <c r="AT314" s="202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F314" s="195"/>
      <c r="BG314" s="195"/>
      <c r="BH314" s="195"/>
      <c r="BI314" s="195"/>
      <c r="BW314" s="195"/>
      <c r="BY314" s="195"/>
      <c r="BZ314" s="195"/>
      <c r="CA314" s="346"/>
      <c r="CB314" s="195"/>
      <c r="CC314" s="195"/>
    </row>
    <row r="315" spans="1:81" ht="15.75" customHeight="1">
      <c r="A315" s="203"/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202"/>
      <c r="AI315" s="195"/>
      <c r="AJ315" s="202"/>
      <c r="AK315" s="195"/>
      <c r="AL315" s="195"/>
      <c r="AM315" s="202"/>
      <c r="AN315" s="195"/>
      <c r="AO315" s="202"/>
      <c r="AP315" s="195"/>
      <c r="AQ315" s="195"/>
      <c r="AR315" s="202"/>
      <c r="AS315" s="195"/>
      <c r="AT315" s="202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F315" s="195"/>
      <c r="BG315" s="195"/>
      <c r="BH315" s="195"/>
      <c r="BI315" s="195"/>
      <c r="BW315" s="195"/>
      <c r="BY315" s="195"/>
      <c r="BZ315" s="195"/>
      <c r="CA315" s="346"/>
      <c r="CB315" s="195"/>
      <c r="CC315" s="195"/>
    </row>
    <row r="316" spans="1:81" ht="15.75" customHeight="1">
      <c r="A316" s="203"/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202"/>
      <c r="AI316" s="195"/>
      <c r="AJ316" s="202"/>
      <c r="AK316" s="195"/>
      <c r="AL316" s="195"/>
      <c r="AM316" s="202"/>
      <c r="AN316" s="195"/>
      <c r="AO316" s="202"/>
      <c r="AP316" s="195"/>
      <c r="AQ316" s="195"/>
      <c r="AR316" s="202"/>
      <c r="AS316" s="195"/>
      <c r="AT316" s="202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F316" s="195"/>
      <c r="BG316" s="195"/>
      <c r="BH316" s="195"/>
      <c r="BI316" s="195"/>
      <c r="BW316" s="195"/>
      <c r="BY316" s="195"/>
      <c r="BZ316" s="195"/>
      <c r="CA316" s="346"/>
      <c r="CB316" s="195"/>
      <c r="CC316" s="195"/>
    </row>
    <row r="317" spans="1:81" ht="15.75" customHeight="1">
      <c r="A317" s="203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202"/>
      <c r="AI317" s="195"/>
      <c r="AJ317" s="202"/>
      <c r="AK317" s="195"/>
      <c r="AL317" s="195"/>
      <c r="AM317" s="202"/>
      <c r="AN317" s="195"/>
      <c r="AO317" s="202"/>
      <c r="AP317" s="195"/>
      <c r="AQ317" s="195"/>
      <c r="AR317" s="202"/>
      <c r="AS317" s="195"/>
      <c r="AT317" s="202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F317" s="195"/>
      <c r="BG317" s="195"/>
      <c r="BH317" s="195"/>
      <c r="BI317" s="195"/>
      <c r="BW317" s="195"/>
      <c r="BY317" s="195"/>
      <c r="BZ317" s="195"/>
      <c r="CA317" s="346"/>
      <c r="CB317" s="195"/>
      <c r="CC317" s="195"/>
    </row>
    <row r="318" spans="1:81" ht="15.75" customHeight="1">
      <c r="A318" s="203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202"/>
      <c r="AI318" s="195"/>
      <c r="AJ318" s="202"/>
      <c r="AK318" s="195"/>
      <c r="AL318" s="195"/>
      <c r="AM318" s="202"/>
      <c r="AN318" s="195"/>
      <c r="AO318" s="202"/>
      <c r="AP318" s="195"/>
      <c r="AQ318" s="195"/>
      <c r="AR318" s="202"/>
      <c r="AS318" s="195"/>
      <c r="AT318" s="202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F318" s="195"/>
      <c r="BG318" s="195"/>
      <c r="BH318" s="195"/>
      <c r="BI318" s="195"/>
      <c r="BW318" s="195"/>
      <c r="BY318" s="195"/>
      <c r="BZ318" s="195"/>
      <c r="CA318" s="346"/>
      <c r="CB318" s="195"/>
      <c r="CC318" s="195"/>
    </row>
    <row r="319" spans="1:81" ht="15.75" customHeight="1">
      <c r="A319" s="203"/>
      <c r="B319" s="195"/>
      <c r="C319" s="195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202"/>
      <c r="AI319" s="195"/>
      <c r="AJ319" s="202"/>
      <c r="AK319" s="195"/>
      <c r="AL319" s="195"/>
      <c r="AM319" s="202"/>
      <c r="AN319" s="195"/>
      <c r="AO319" s="202"/>
      <c r="AP319" s="195"/>
      <c r="AQ319" s="195"/>
      <c r="AR319" s="202"/>
      <c r="AS319" s="195"/>
      <c r="AT319" s="202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F319" s="195"/>
      <c r="BG319" s="195"/>
      <c r="BH319" s="195"/>
      <c r="BI319" s="195"/>
      <c r="BW319" s="195"/>
      <c r="BY319" s="195"/>
      <c r="BZ319" s="195"/>
      <c r="CA319" s="346"/>
      <c r="CB319" s="195"/>
      <c r="CC319" s="195"/>
    </row>
    <row r="320" spans="1:81" ht="15.75" customHeight="1">
      <c r="A320" s="203"/>
      <c r="B320" s="195"/>
      <c r="C320" s="195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202"/>
      <c r="AI320" s="195"/>
      <c r="AJ320" s="202"/>
      <c r="AK320" s="195"/>
      <c r="AL320" s="195"/>
      <c r="AM320" s="202"/>
      <c r="AN320" s="195"/>
      <c r="AO320" s="202"/>
      <c r="AP320" s="195"/>
      <c r="AQ320" s="195"/>
      <c r="AR320" s="202"/>
      <c r="AS320" s="195"/>
      <c r="AT320" s="202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F320" s="195"/>
      <c r="BG320" s="195"/>
      <c r="BH320" s="195"/>
      <c r="BI320" s="195"/>
      <c r="BW320" s="195"/>
      <c r="BY320" s="195"/>
      <c r="BZ320" s="195"/>
      <c r="CA320" s="346"/>
      <c r="CB320" s="195"/>
      <c r="CC320" s="195"/>
    </row>
    <row r="321" spans="1:81" ht="15.75" customHeight="1">
      <c r="A321" s="198"/>
      <c r="B321" s="199"/>
      <c r="C321" s="199"/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  <c r="AA321" s="199"/>
      <c r="AB321" s="199"/>
      <c r="AC321" s="199"/>
      <c r="AD321" s="199"/>
      <c r="AE321" s="199"/>
      <c r="AF321" s="199"/>
      <c r="AG321" s="199"/>
      <c r="AH321" s="199"/>
      <c r="AI321" s="199"/>
      <c r="AJ321" s="199"/>
      <c r="AK321" s="199"/>
      <c r="AL321" s="199"/>
      <c r="AM321" s="199"/>
      <c r="AN321" s="199"/>
      <c r="AO321" s="199"/>
      <c r="AP321" s="199"/>
      <c r="AQ321" s="199"/>
      <c r="AR321" s="199"/>
      <c r="AS321" s="199"/>
      <c r="AT321" s="199"/>
      <c r="AU321" s="199"/>
      <c r="AV321" s="199"/>
      <c r="AW321" s="199"/>
      <c r="AX321" s="199"/>
      <c r="AY321" s="199"/>
      <c r="AZ321" s="199"/>
      <c r="BA321" s="199"/>
      <c r="BB321" s="199"/>
      <c r="BC321" s="199"/>
      <c r="BD321" s="199"/>
      <c r="BE321" s="200"/>
      <c r="BF321" s="199"/>
      <c r="BG321" s="199"/>
      <c r="BH321" s="199"/>
      <c r="BI321" s="199"/>
      <c r="BJ321" s="200"/>
      <c r="BW321" s="199"/>
      <c r="BY321" s="199"/>
      <c r="BZ321" s="199"/>
      <c r="CA321" s="348"/>
      <c r="CB321" s="199"/>
      <c r="CC321" s="199"/>
    </row>
    <row r="322" spans="1:81" ht="15.75" customHeight="1">
      <c r="A322" s="214"/>
      <c r="B322" s="195"/>
      <c r="C322" s="195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206"/>
      <c r="AI322" s="195"/>
      <c r="AJ322" s="210"/>
      <c r="AK322" s="195"/>
      <c r="AL322" s="195"/>
      <c r="AM322" s="206"/>
      <c r="AN322" s="195"/>
      <c r="AO322" s="210"/>
      <c r="AP322" s="195"/>
      <c r="AQ322" s="195"/>
      <c r="AR322" s="206"/>
      <c r="AS322" s="195"/>
      <c r="AT322" s="210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195"/>
      <c r="BF322" s="195"/>
      <c r="BG322" s="195"/>
      <c r="BH322" s="195"/>
      <c r="BI322" s="195"/>
      <c r="BW322" s="195"/>
      <c r="BY322" s="195"/>
      <c r="BZ322" s="195"/>
      <c r="CA322" s="346"/>
      <c r="CB322" s="195"/>
      <c r="CC322" s="195"/>
    </row>
    <row r="323" spans="1:81" ht="15.75" customHeight="1">
      <c r="A323" s="203"/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202"/>
      <c r="AI323" s="195"/>
      <c r="AJ323" s="202"/>
      <c r="AK323" s="195"/>
      <c r="AL323" s="195"/>
      <c r="AM323" s="202"/>
      <c r="AN323" s="195"/>
      <c r="AO323" s="202"/>
      <c r="AP323" s="195"/>
      <c r="AQ323" s="195"/>
      <c r="AR323" s="202"/>
      <c r="AS323" s="195"/>
      <c r="AT323" s="202"/>
      <c r="AU323" s="195"/>
      <c r="AV323" s="195"/>
      <c r="AW323" s="195"/>
      <c r="AX323" s="195"/>
      <c r="AY323" s="195"/>
      <c r="AZ323" s="195"/>
      <c r="BA323" s="195"/>
      <c r="BB323" s="195"/>
      <c r="BC323" s="195"/>
      <c r="BD323" s="195"/>
      <c r="BF323" s="195"/>
      <c r="BG323" s="195"/>
      <c r="BH323" s="195"/>
      <c r="BI323" s="195"/>
      <c r="BW323" s="195"/>
      <c r="BY323" s="195"/>
      <c r="BZ323" s="195"/>
      <c r="CA323" s="346"/>
      <c r="CB323" s="195"/>
      <c r="CC323" s="195"/>
    </row>
    <row r="324" spans="1:81" ht="15.75" customHeight="1">
      <c r="A324" s="203"/>
      <c r="B324" s="195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208"/>
      <c r="AI324" s="195"/>
      <c r="AJ324" s="202"/>
      <c r="AK324" s="195"/>
      <c r="AL324" s="195"/>
      <c r="AM324" s="208"/>
      <c r="AN324" s="195"/>
      <c r="AO324" s="202"/>
      <c r="AP324" s="195"/>
      <c r="AQ324" s="195"/>
      <c r="AR324" s="208"/>
      <c r="AS324" s="195"/>
      <c r="AT324" s="202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F324" s="195"/>
      <c r="BG324" s="195"/>
      <c r="BH324" s="195"/>
      <c r="BI324" s="195"/>
      <c r="BW324" s="195"/>
      <c r="BY324" s="195"/>
      <c r="BZ324" s="195"/>
      <c r="CA324" s="346"/>
      <c r="CB324" s="195"/>
      <c r="CC324" s="195"/>
    </row>
    <row r="325" spans="1:81" ht="15.75" customHeight="1">
      <c r="A325" s="203"/>
      <c r="B325" s="195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202"/>
      <c r="AI325" s="195"/>
      <c r="AJ325" s="202"/>
      <c r="AK325" s="195"/>
      <c r="AL325" s="195"/>
      <c r="AM325" s="202"/>
      <c r="AN325" s="195"/>
      <c r="AO325" s="202"/>
      <c r="AP325" s="195"/>
      <c r="AQ325" s="195"/>
      <c r="AR325" s="202"/>
      <c r="AS325" s="195"/>
      <c r="AT325" s="202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195"/>
      <c r="BF325" s="195"/>
      <c r="BG325" s="195"/>
      <c r="BH325" s="195"/>
      <c r="BI325" s="195"/>
      <c r="BW325" s="195"/>
      <c r="BY325" s="195"/>
      <c r="BZ325" s="195"/>
      <c r="CA325" s="346"/>
      <c r="CB325" s="195"/>
      <c r="CC325" s="195"/>
    </row>
    <row r="326" spans="1:81" ht="15.75" customHeight="1">
      <c r="A326" s="203"/>
      <c r="B326" s="195"/>
      <c r="C326" s="195"/>
      <c r="D326" s="195"/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202"/>
      <c r="AI326" s="195"/>
      <c r="AJ326" s="202"/>
      <c r="AK326" s="195"/>
      <c r="AL326" s="195"/>
      <c r="AM326" s="202"/>
      <c r="AN326" s="195"/>
      <c r="AO326" s="202"/>
      <c r="AP326" s="195"/>
      <c r="AQ326" s="195"/>
      <c r="AR326" s="202"/>
      <c r="AS326" s="195"/>
      <c r="AT326" s="202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195"/>
      <c r="BF326" s="195"/>
      <c r="BG326" s="195"/>
      <c r="BH326" s="195"/>
      <c r="BI326" s="195"/>
      <c r="BW326" s="195"/>
      <c r="BY326" s="195"/>
      <c r="BZ326" s="195"/>
      <c r="CA326" s="346"/>
      <c r="CB326" s="195"/>
      <c r="CC326" s="195"/>
    </row>
    <row r="327" spans="1:81" ht="15.75" customHeight="1">
      <c r="A327" s="203"/>
      <c r="B327" s="195"/>
      <c r="C327" s="195"/>
      <c r="D327" s="195"/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202"/>
      <c r="AI327" s="195"/>
      <c r="AJ327" s="202"/>
      <c r="AK327" s="195"/>
      <c r="AL327" s="195"/>
      <c r="AM327" s="202"/>
      <c r="AN327" s="195"/>
      <c r="AO327" s="202"/>
      <c r="AP327" s="195"/>
      <c r="AQ327" s="195"/>
      <c r="AR327" s="202"/>
      <c r="AS327" s="195"/>
      <c r="AT327" s="202"/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195"/>
      <c r="BF327" s="195"/>
      <c r="BG327" s="195"/>
      <c r="BH327" s="195"/>
      <c r="BI327" s="195"/>
      <c r="BW327" s="195"/>
      <c r="BY327" s="195"/>
      <c r="BZ327" s="195"/>
      <c r="CA327" s="346"/>
      <c r="CB327" s="195"/>
      <c r="CC327" s="195"/>
    </row>
    <row r="328" spans="1:81" ht="15.75" customHeight="1">
      <c r="A328" s="198"/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199"/>
      <c r="AK328" s="199"/>
      <c r="AL328" s="199"/>
      <c r="AM328" s="199"/>
      <c r="AN328" s="199"/>
      <c r="AO328" s="199"/>
      <c r="AP328" s="199"/>
      <c r="AQ328" s="199"/>
      <c r="AR328" s="199"/>
      <c r="AS328" s="199"/>
      <c r="AT328" s="199"/>
      <c r="AU328" s="199"/>
      <c r="AV328" s="199"/>
      <c r="AW328" s="199"/>
      <c r="AX328" s="199"/>
      <c r="AY328" s="199"/>
      <c r="AZ328" s="199"/>
      <c r="BA328" s="199"/>
      <c r="BB328" s="199"/>
      <c r="BC328" s="199"/>
      <c r="BD328" s="199"/>
      <c r="BE328" s="200"/>
      <c r="BF328" s="199"/>
      <c r="BG328" s="199"/>
      <c r="BH328" s="199"/>
      <c r="BI328" s="199"/>
      <c r="BJ328" s="200"/>
      <c r="BW328" s="199"/>
      <c r="BY328" s="199"/>
      <c r="BZ328" s="199"/>
      <c r="CA328" s="348"/>
      <c r="CB328" s="199"/>
      <c r="CC328" s="199"/>
    </row>
    <row r="329" spans="1:81" ht="15.75" customHeight="1">
      <c r="A329" s="203"/>
      <c r="B329" s="195"/>
      <c r="C329" s="195"/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202"/>
      <c r="AI329" s="195"/>
      <c r="AJ329" s="210"/>
      <c r="AK329" s="195"/>
      <c r="AL329" s="195"/>
      <c r="AM329" s="202"/>
      <c r="AN329" s="195"/>
      <c r="AO329" s="210"/>
      <c r="AP329" s="195"/>
      <c r="AQ329" s="195"/>
      <c r="AR329" s="202"/>
      <c r="AS329" s="195"/>
      <c r="AT329" s="210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195"/>
      <c r="BF329" s="195"/>
      <c r="BG329" s="195"/>
      <c r="BH329" s="195"/>
      <c r="BI329" s="195"/>
      <c r="BW329" s="195"/>
      <c r="BY329" s="195"/>
      <c r="BZ329" s="195"/>
      <c r="CA329" s="346"/>
      <c r="CB329" s="195"/>
      <c r="CC329" s="195"/>
    </row>
    <row r="330" spans="1:81" ht="15.75" customHeight="1">
      <c r="A330" s="203"/>
      <c r="B330" s="195"/>
      <c r="C330" s="195"/>
      <c r="D330" s="195"/>
      <c r="E330" s="195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202"/>
      <c r="AI330" s="195"/>
      <c r="AJ330" s="202"/>
      <c r="AK330" s="195"/>
      <c r="AL330" s="195"/>
      <c r="AM330" s="202"/>
      <c r="AN330" s="195"/>
      <c r="AO330" s="202"/>
      <c r="AP330" s="195"/>
      <c r="AQ330" s="195"/>
      <c r="AR330" s="202"/>
      <c r="AS330" s="195"/>
      <c r="AT330" s="202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F330" s="195"/>
      <c r="BG330" s="195"/>
      <c r="BH330" s="195"/>
      <c r="BI330" s="195"/>
      <c r="BW330" s="195"/>
      <c r="BY330" s="195"/>
      <c r="BZ330" s="195"/>
      <c r="CA330" s="346"/>
      <c r="CB330" s="195"/>
      <c r="CC330" s="195"/>
    </row>
    <row r="331" spans="1:81" ht="15.75" customHeight="1">
      <c r="A331" s="203"/>
      <c r="B331" s="195"/>
      <c r="C331" s="195"/>
      <c r="D331" s="195"/>
      <c r="E331" s="195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202"/>
      <c r="AI331" s="195"/>
      <c r="AJ331" s="202"/>
      <c r="AK331" s="195"/>
      <c r="AL331" s="195"/>
      <c r="AM331" s="202"/>
      <c r="AN331" s="195"/>
      <c r="AO331" s="202"/>
      <c r="AP331" s="195"/>
      <c r="AQ331" s="195"/>
      <c r="AR331" s="202"/>
      <c r="AS331" s="195"/>
      <c r="AT331" s="202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F331" s="195"/>
      <c r="BG331" s="195"/>
      <c r="BH331" s="195"/>
      <c r="BI331" s="195"/>
      <c r="BW331" s="195"/>
      <c r="BY331" s="195"/>
      <c r="BZ331" s="195"/>
      <c r="CA331" s="346"/>
      <c r="CB331" s="195"/>
      <c r="CC331" s="195"/>
    </row>
    <row r="332" spans="1:81" ht="15" customHeight="1">
      <c r="A332" s="203"/>
      <c r="B332" s="195"/>
      <c r="C332" s="195"/>
      <c r="D332" s="195"/>
      <c r="E332" s="195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202"/>
      <c r="AI332" s="195"/>
      <c r="AJ332" s="202"/>
      <c r="AK332" s="195"/>
      <c r="AL332" s="195"/>
      <c r="AM332" s="202"/>
      <c r="AN332" s="195"/>
      <c r="AO332" s="202"/>
      <c r="AP332" s="195"/>
      <c r="AQ332" s="195"/>
      <c r="AR332" s="202"/>
      <c r="AS332" s="195"/>
      <c r="AT332" s="202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F332" s="195"/>
      <c r="BG332" s="195"/>
      <c r="BH332" s="195"/>
      <c r="BI332" s="195"/>
      <c r="BW332" s="195"/>
      <c r="BY332" s="195"/>
      <c r="BZ332" s="195"/>
      <c r="CA332" s="346"/>
      <c r="CB332" s="195"/>
      <c r="CC332" s="195"/>
    </row>
    <row r="333" spans="1:81" ht="15.75" customHeight="1">
      <c r="A333" s="203"/>
      <c r="B333" s="195"/>
      <c r="C333" s="195"/>
      <c r="D333" s="195"/>
      <c r="E333" s="195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202"/>
      <c r="AI333" s="195"/>
      <c r="AJ333" s="202"/>
      <c r="AK333" s="195"/>
      <c r="AL333" s="195"/>
      <c r="AM333" s="208"/>
      <c r="AN333" s="195"/>
      <c r="AO333" s="202"/>
      <c r="AP333" s="195"/>
      <c r="AQ333" s="195"/>
      <c r="AR333" s="208"/>
      <c r="AS333" s="195"/>
      <c r="AT333" s="202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F333" s="195"/>
      <c r="BG333" s="195"/>
      <c r="BH333" s="195"/>
      <c r="BI333" s="195"/>
      <c r="BW333" s="195"/>
      <c r="BY333" s="195"/>
      <c r="BZ333" s="195"/>
      <c r="CA333" s="346"/>
      <c r="CB333" s="195"/>
      <c r="CC333" s="195"/>
    </row>
    <row r="334" spans="1:81" ht="15.75" customHeight="1">
      <c r="A334" s="203"/>
      <c r="B334" s="195"/>
      <c r="C334" s="195"/>
      <c r="D334" s="195"/>
      <c r="E334" s="195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202"/>
      <c r="AI334" s="195"/>
      <c r="AJ334" s="202"/>
      <c r="AK334" s="195"/>
      <c r="AL334" s="195"/>
      <c r="AM334" s="202"/>
      <c r="AN334" s="195"/>
      <c r="AO334" s="202"/>
      <c r="AP334" s="195"/>
      <c r="AQ334" s="195"/>
      <c r="AR334" s="202"/>
      <c r="AS334" s="195"/>
      <c r="AT334" s="202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F334" s="195"/>
      <c r="BG334" s="195"/>
      <c r="BH334" s="195"/>
      <c r="BI334" s="195"/>
      <c r="BW334" s="195"/>
      <c r="BY334" s="195"/>
      <c r="BZ334" s="195"/>
      <c r="CA334" s="346"/>
      <c r="CB334" s="195"/>
      <c r="CC334" s="195"/>
    </row>
    <row r="335" spans="1:81" ht="15.75" customHeight="1">
      <c r="A335" s="203"/>
      <c r="B335" s="195"/>
      <c r="C335" s="195"/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202"/>
      <c r="AI335" s="195"/>
      <c r="AJ335" s="202"/>
      <c r="AK335" s="195"/>
      <c r="AL335" s="195"/>
      <c r="AM335" s="202"/>
      <c r="AN335" s="195"/>
      <c r="AO335" s="202"/>
      <c r="AP335" s="195"/>
      <c r="AQ335" s="195"/>
      <c r="AR335" s="202"/>
      <c r="AS335" s="195"/>
      <c r="AT335" s="202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F335" s="195"/>
      <c r="BG335" s="195"/>
      <c r="BH335" s="195"/>
      <c r="BI335" s="195"/>
      <c r="BW335" s="195"/>
      <c r="BY335" s="195"/>
      <c r="BZ335" s="195"/>
      <c r="CA335" s="346"/>
      <c r="CB335" s="195"/>
      <c r="CC335" s="195"/>
    </row>
    <row r="336" spans="1:81" ht="15.75" customHeight="1">
      <c r="A336" s="203"/>
      <c r="B336" s="195"/>
      <c r="C336" s="195"/>
      <c r="D336" s="195"/>
      <c r="E336" s="195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202"/>
      <c r="AI336" s="195"/>
      <c r="AJ336" s="202"/>
      <c r="AK336" s="195"/>
      <c r="AL336" s="195"/>
      <c r="AM336" s="202"/>
      <c r="AN336" s="195"/>
      <c r="AO336" s="202"/>
      <c r="AP336" s="195"/>
      <c r="AQ336" s="195"/>
      <c r="AR336" s="202"/>
      <c r="AS336" s="195"/>
      <c r="AT336" s="202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F336" s="195"/>
      <c r="BG336" s="195"/>
      <c r="BH336" s="195"/>
      <c r="BI336" s="195"/>
      <c r="BW336" s="195"/>
      <c r="BY336" s="195"/>
      <c r="BZ336" s="195"/>
      <c r="CA336" s="346"/>
      <c r="CB336" s="195"/>
      <c r="CC336" s="195"/>
    </row>
    <row r="337" spans="1:81" ht="15.75" customHeight="1">
      <c r="A337" s="203"/>
      <c r="B337" s="195"/>
      <c r="C337" s="195"/>
      <c r="D337" s="195"/>
      <c r="E337" s="195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208"/>
      <c r="AI337" s="195"/>
      <c r="AJ337" s="202"/>
      <c r="AK337" s="195"/>
      <c r="AL337" s="195"/>
      <c r="AM337" s="208"/>
      <c r="AN337" s="195"/>
      <c r="AO337" s="202"/>
      <c r="AP337" s="195"/>
      <c r="AQ337" s="195"/>
      <c r="AR337" s="208"/>
      <c r="AS337" s="195"/>
      <c r="AT337" s="202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F337" s="195"/>
      <c r="BG337" s="195"/>
      <c r="BH337" s="195"/>
      <c r="BI337" s="195"/>
      <c r="BW337" s="195"/>
      <c r="BY337" s="195"/>
      <c r="BZ337" s="195"/>
      <c r="CA337" s="346"/>
      <c r="CB337" s="195"/>
      <c r="CC337" s="195"/>
    </row>
    <row r="338" spans="1:81" ht="15.75" customHeight="1">
      <c r="A338" s="203"/>
      <c r="B338" s="195"/>
      <c r="C338" s="195"/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202"/>
      <c r="AI338" s="195"/>
      <c r="AJ338" s="202"/>
      <c r="AK338" s="195"/>
      <c r="AL338" s="195"/>
      <c r="AM338" s="202"/>
      <c r="AN338" s="195"/>
      <c r="AO338" s="202"/>
      <c r="AP338" s="195"/>
      <c r="AQ338" s="195"/>
      <c r="AR338" s="202"/>
      <c r="AS338" s="195"/>
      <c r="AT338" s="202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F338" s="195"/>
      <c r="BG338" s="195"/>
      <c r="BH338" s="195"/>
      <c r="BI338" s="195"/>
      <c r="BW338" s="195"/>
      <c r="BY338" s="195"/>
      <c r="BZ338" s="195"/>
      <c r="CA338" s="346"/>
      <c r="CB338" s="195"/>
      <c r="CC338" s="195"/>
    </row>
    <row r="339" spans="1:81" ht="15.75" customHeight="1">
      <c r="A339" s="203"/>
      <c r="B339" s="195"/>
      <c r="C339" s="195"/>
      <c r="D339" s="195"/>
      <c r="E339" s="195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202"/>
      <c r="AI339" s="195"/>
      <c r="AJ339" s="202"/>
      <c r="AK339" s="195"/>
      <c r="AL339" s="195"/>
      <c r="AM339" s="202"/>
      <c r="AN339" s="195"/>
      <c r="AO339" s="202"/>
      <c r="AP339" s="195"/>
      <c r="AQ339" s="195"/>
      <c r="AR339" s="202"/>
      <c r="AS339" s="195"/>
      <c r="AT339" s="202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F339" s="195"/>
      <c r="BG339" s="195"/>
      <c r="BH339" s="195"/>
      <c r="BI339" s="195"/>
      <c r="BW339" s="195"/>
      <c r="BY339" s="195"/>
      <c r="BZ339" s="195"/>
      <c r="CA339" s="346"/>
      <c r="CB339" s="195"/>
      <c r="CC339" s="195"/>
    </row>
    <row r="340" spans="1:81" ht="15.75" customHeight="1">
      <c r="A340" s="203"/>
      <c r="B340" s="195"/>
      <c r="C340" s="195"/>
      <c r="D340" s="195"/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202"/>
      <c r="AI340" s="195"/>
      <c r="AJ340" s="202"/>
      <c r="AK340" s="195"/>
      <c r="AL340" s="195"/>
      <c r="AM340" s="202"/>
      <c r="AN340" s="195"/>
      <c r="AO340" s="202"/>
      <c r="AP340" s="195"/>
      <c r="AQ340" s="195"/>
      <c r="AR340" s="202"/>
      <c r="AS340" s="195"/>
      <c r="AT340" s="202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F340" s="195"/>
      <c r="BG340" s="195"/>
      <c r="BH340" s="195"/>
      <c r="BI340" s="195"/>
      <c r="BW340" s="195"/>
      <c r="BY340" s="195"/>
      <c r="BZ340" s="195"/>
      <c r="CA340" s="346"/>
      <c r="CB340" s="195"/>
      <c r="CC340" s="195"/>
    </row>
    <row r="341" spans="1:81" ht="15.75" customHeight="1">
      <c r="A341" s="203"/>
      <c r="B341" s="195"/>
      <c r="C341" s="195"/>
      <c r="D341" s="195"/>
      <c r="E341" s="195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202"/>
      <c r="AI341" s="195"/>
      <c r="AJ341" s="202"/>
      <c r="AK341" s="195"/>
      <c r="AL341" s="195"/>
      <c r="AM341" s="202"/>
      <c r="AN341" s="195"/>
      <c r="AO341" s="202"/>
      <c r="AP341" s="195"/>
      <c r="AQ341" s="195"/>
      <c r="AR341" s="202"/>
      <c r="AS341" s="195"/>
      <c r="AT341" s="202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F341" s="195"/>
      <c r="BG341" s="195"/>
      <c r="BH341" s="195"/>
      <c r="BI341" s="195"/>
      <c r="BW341" s="195"/>
      <c r="BY341" s="195"/>
      <c r="BZ341" s="195"/>
      <c r="CA341" s="346"/>
      <c r="CB341" s="195"/>
      <c r="CC341" s="195"/>
    </row>
    <row r="342" spans="1:81" ht="15.75" customHeight="1">
      <c r="A342" s="203"/>
      <c r="B342" s="195"/>
      <c r="C342" s="195"/>
      <c r="D342" s="195"/>
      <c r="E342" s="195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202"/>
      <c r="AI342" s="195"/>
      <c r="AJ342" s="202"/>
      <c r="AK342" s="195"/>
      <c r="AL342" s="195"/>
      <c r="AM342" s="202"/>
      <c r="AN342" s="195"/>
      <c r="AO342" s="202"/>
      <c r="AP342" s="195"/>
      <c r="AQ342" s="195"/>
      <c r="AR342" s="202"/>
      <c r="AS342" s="195"/>
      <c r="AT342" s="202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F342" s="195"/>
      <c r="BG342" s="195"/>
      <c r="BH342" s="195"/>
      <c r="BI342" s="195"/>
      <c r="BW342" s="195"/>
      <c r="BY342" s="195"/>
      <c r="BZ342" s="195"/>
      <c r="CA342" s="346"/>
      <c r="CB342" s="195"/>
      <c r="CC342" s="195"/>
    </row>
    <row r="343" spans="1:81" ht="15.75" customHeight="1">
      <c r="A343" s="203"/>
      <c r="B343" s="195"/>
      <c r="C343" s="195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202"/>
      <c r="AI343" s="195"/>
      <c r="AJ343" s="202"/>
      <c r="AK343" s="195"/>
      <c r="AL343" s="195"/>
      <c r="AM343" s="202"/>
      <c r="AN343" s="195"/>
      <c r="AO343" s="202"/>
      <c r="AP343" s="195"/>
      <c r="AQ343" s="195"/>
      <c r="AR343" s="202"/>
      <c r="AS343" s="195"/>
      <c r="AT343" s="202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F343" s="195"/>
      <c r="BG343" s="195"/>
      <c r="BH343" s="195"/>
      <c r="BI343" s="195"/>
      <c r="BW343" s="195"/>
      <c r="BY343" s="195"/>
      <c r="BZ343" s="195"/>
      <c r="CA343" s="346"/>
      <c r="CB343" s="195"/>
      <c r="CC343" s="195"/>
    </row>
    <row r="344" spans="1:81" ht="15.75" customHeight="1">
      <c r="A344" s="198"/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  <c r="AS344" s="199"/>
      <c r="AT344" s="199"/>
      <c r="AU344" s="199"/>
      <c r="AV344" s="199"/>
      <c r="AW344" s="199"/>
      <c r="AX344" s="199"/>
      <c r="AY344" s="199"/>
      <c r="AZ344" s="199"/>
      <c r="BA344" s="199"/>
      <c r="BB344" s="199"/>
      <c r="BC344" s="199"/>
      <c r="BD344" s="199"/>
      <c r="BE344" s="200"/>
      <c r="BF344" s="199"/>
      <c r="BG344" s="199"/>
      <c r="BH344" s="199"/>
      <c r="BI344" s="199"/>
      <c r="BJ344" s="200"/>
      <c r="BW344" s="199"/>
      <c r="BY344" s="199"/>
      <c r="BZ344" s="199"/>
      <c r="CA344" s="348"/>
      <c r="CB344" s="199"/>
      <c r="CC344" s="199"/>
    </row>
    <row r="345" spans="1:81" ht="15.75" customHeight="1">
      <c r="A345" s="203"/>
      <c r="B345" s="195"/>
      <c r="C345" s="195"/>
      <c r="D345" s="195"/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202"/>
      <c r="AI345" s="195"/>
      <c r="AJ345" s="202"/>
      <c r="AK345" s="195"/>
      <c r="AL345" s="195"/>
      <c r="AM345" s="202"/>
      <c r="AN345" s="195"/>
      <c r="AO345" s="202"/>
      <c r="AP345" s="195"/>
      <c r="AQ345" s="195"/>
      <c r="AR345" s="202"/>
      <c r="AS345" s="195"/>
      <c r="AT345" s="202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F345" s="195"/>
      <c r="BG345" s="195"/>
      <c r="BH345" s="195"/>
      <c r="BI345" s="195"/>
      <c r="BW345" s="195"/>
      <c r="BY345" s="195"/>
      <c r="BZ345" s="195"/>
      <c r="CA345" s="346"/>
      <c r="CB345" s="195"/>
      <c r="CC345" s="195"/>
    </row>
    <row r="346" spans="1:81" ht="15.75" customHeight="1">
      <c r="A346" s="203"/>
      <c r="B346" s="195"/>
      <c r="C346" s="195"/>
      <c r="D346" s="195"/>
      <c r="E346" s="195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202"/>
      <c r="AI346" s="195"/>
      <c r="AJ346" s="202"/>
      <c r="AK346" s="195"/>
      <c r="AL346" s="195"/>
      <c r="AM346" s="202"/>
      <c r="AN346" s="195"/>
      <c r="AO346" s="202"/>
      <c r="AP346" s="195"/>
      <c r="AQ346" s="195"/>
      <c r="AR346" s="202"/>
      <c r="AS346" s="195"/>
      <c r="AT346" s="202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F346" s="195"/>
      <c r="BG346" s="195"/>
      <c r="BH346" s="195"/>
      <c r="BI346" s="195"/>
      <c r="BW346" s="195"/>
      <c r="BY346" s="195"/>
      <c r="BZ346" s="195"/>
      <c r="CA346" s="346"/>
      <c r="CB346" s="195"/>
      <c r="CC346" s="195"/>
    </row>
    <row r="347" spans="1:81" ht="15.75" customHeight="1">
      <c r="A347" s="203"/>
      <c r="B347" s="195"/>
      <c r="C347" s="195"/>
      <c r="D347" s="195"/>
      <c r="E347" s="195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202"/>
      <c r="AI347" s="195"/>
      <c r="AJ347" s="202"/>
      <c r="AK347" s="195"/>
      <c r="AL347" s="195"/>
      <c r="AM347" s="202"/>
      <c r="AN347" s="195"/>
      <c r="AO347" s="202"/>
      <c r="AP347" s="195"/>
      <c r="AQ347" s="195"/>
      <c r="AR347" s="202"/>
      <c r="AS347" s="195"/>
      <c r="AT347" s="202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F347" s="195"/>
      <c r="BG347" s="195"/>
      <c r="BH347" s="195"/>
      <c r="BI347" s="195"/>
      <c r="BW347" s="195"/>
      <c r="BY347" s="195"/>
      <c r="BZ347" s="195"/>
      <c r="CA347" s="346"/>
      <c r="CB347" s="195"/>
      <c r="CC347" s="195"/>
    </row>
    <row r="348" spans="1:81" ht="15.75" customHeight="1">
      <c r="A348" s="203"/>
      <c r="B348" s="195"/>
      <c r="C348" s="195"/>
      <c r="D348" s="195"/>
      <c r="E348" s="195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202"/>
      <c r="AI348" s="195"/>
      <c r="AJ348" s="202"/>
      <c r="AK348" s="195"/>
      <c r="AL348" s="195"/>
      <c r="AM348" s="202"/>
      <c r="AN348" s="195"/>
      <c r="AO348" s="202"/>
      <c r="AP348" s="195"/>
      <c r="AQ348" s="195"/>
      <c r="AR348" s="202"/>
      <c r="AS348" s="195"/>
      <c r="AT348" s="202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F348" s="195"/>
      <c r="BG348" s="195"/>
      <c r="BH348" s="195"/>
      <c r="BI348" s="195"/>
      <c r="BW348" s="195"/>
      <c r="BY348" s="195"/>
      <c r="BZ348" s="195"/>
      <c r="CA348" s="346"/>
      <c r="CB348" s="195"/>
      <c r="CC348" s="195"/>
    </row>
    <row r="349" spans="1:81" ht="15.75" customHeight="1">
      <c r="A349" s="203"/>
      <c r="B349" s="195"/>
      <c r="C349" s="195"/>
      <c r="D349" s="195"/>
      <c r="E349" s="195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202"/>
      <c r="AI349" s="195"/>
      <c r="AJ349" s="202"/>
      <c r="AK349" s="195"/>
      <c r="AL349" s="195"/>
      <c r="AM349" s="202"/>
      <c r="AN349" s="195"/>
      <c r="AO349" s="202"/>
      <c r="AP349" s="195"/>
      <c r="AQ349" s="195"/>
      <c r="AR349" s="202"/>
      <c r="AS349" s="195"/>
      <c r="AT349" s="202"/>
      <c r="AU349" s="195"/>
      <c r="AV349" s="195"/>
      <c r="AW349" s="195"/>
      <c r="AX349" s="195"/>
      <c r="AY349" s="195"/>
      <c r="AZ349" s="195"/>
      <c r="BA349" s="195"/>
      <c r="BB349" s="195"/>
      <c r="BC349" s="195"/>
      <c r="BD349" s="195"/>
      <c r="BF349" s="195"/>
      <c r="BG349" s="195"/>
      <c r="BH349" s="195"/>
      <c r="BI349" s="195"/>
      <c r="BW349" s="195"/>
      <c r="BY349" s="195"/>
      <c r="BZ349" s="195"/>
      <c r="CA349" s="346"/>
      <c r="CB349" s="195"/>
      <c r="CC349" s="195"/>
    </row>
    <row r="350" spans="1:81" ht="15.75" customHeight="1">
      <c r="A350" s="203"/>
      <c r="B350" s="195"/>
      <c r="C350" s="195"/>
      <c r="D350" s="195"/>
      <c r="E350" s="195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202"/>
      <c r="AI350" s="195"/>
      <c r="AJ350" s="202"/>
      <c r="AK350" s="195"/>
      <c r="AL350" s="195"/>
      <c r="AM350" s="202"/>
      <c r="AN350" s="195"/>
      <c r="AO350" s="202"/>
      <c r="AP350" s="195"/>
      <c r="AQ350" s="195"/>
      <c r="AR350" s="202"/>
      <c r="AS350" s="195"/>
      <c r="AT350" s="202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F350" s="195"/>
      <c r="BG350" s="195"/>
      <c r="BH350" s="195"/>
      <c r="BI350" s="195"/>
      <c r="BW350" s="195"/>
      <c r="BY350" s="195"/>
      <c r="BZ350" s="195"/>
      <c r="CA350" s="346"/>
      <c r="CB350" s="195"/>
      <c r="CC350" s="195"/>
    </row>
    <row r="351" spans="1:81" ht="15.75" customHeight="1">
      <c r="A351" s="203"/>
      <c r="B351" s="195"/>
      <c r="C351" s="195"/>
      <c r="D351" s="195"/>
      <c r="E351" s="195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202"/>
      <c r="AI351" s="195"/>
      <c r="AJ351" s="202"/>
      <c r="AK351" s="195"/>
      <c r="AL351" s="195"/>
      <c r="AM351" s="202"/>
      <c r="AN351" s="195"/>
      <c r="AO351" s="202"/>
      <c r="AP351" s="195"/>
      <c r="AQ351" s="195"/>
      <c r="AR351" s="202"/>
      <c r="AS351" s="195"/>
      <c r="AT351" s="202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F351" s="195"/>
      <c r="BG351" s="195"/>
      <c r="BH351" s="195"/>
      <c r="BI351" s="195"/>
      <c r="BW351" s="195"/>
      <c r="BY351" s="195"/>
      <c r="BZ351" s="195"/>
      <c r="CA351" s="346"/>
      <c r="CB351" s="195"/>
      <c r="CC351" s="195"/>
    </row>
    <row r="352" spans="1:81" ht="15.75" customHeight="1">
      <c r="A352" s="203"/>
      <c r="B352" s="195"/>
      <c r="C352" s="195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202"/>
      <c r="AI352" s="195"/>
      <c r="AJ352" s="202"/>
      <c r="AK352" s="195"/>
      <c r="AL352" s="195"/>
      <c r="AM352" s="202"/>
      <c r="AN352" s="195"/>
      <c r="AO352" s="202"/>
      <c r="AP352" s="195"/>
      <c r="AQ352" s="195"/>
      <c r="AR352" s="202"/>
      <c r="AS352" s="195"/>
      <c r="AT352" s="202"/>
      <c r="AU352" s="195"/>
      <c r="AV352" s="195"/>
      <c r="AW352" s="195"/>
      <c r="AX352" s="195"/>
      <c r="AY352" s="195"/>
      <c r="AZ352" s="195"/>
      <c r="BA352" s="195"/>
      <c r="BB352" s="195"/>
      <c r="BC352" s="195"/>
      <c r="BD352" s="195"/>
      <c r="BF352" s="195"/>
      <c r="BG352" s="195"/>
      <c r="BH352" s="195"/>
      <c r="BI352" s="195"/>
      <c r="BW352" s="195"/>
      <c r="BY352" s="195"/>
      <c r="BZ352" s="195"/>
      <c r="CA352" s="346"/>
      <c r="CB352" s="195"/>
      <c r="CC352" s="195"/>
    </row>
    <row r="353" spans="1:81" ht="15.75" customHeight="1">
      <c r="A353" s="203"/>
      <c r="B353" s="195"/>
      <c r="C353" s="195"/>
      <c r="D353" s="195"/>
      <c r="E353" s="195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202"/>
      <c r="AI353" s="195"/>
      <c r="AJ353" s="202"/>
      <c r="AK353" s="195"/>
      <c r="AL353" s="195"/>
      <c r="AM353" s="202"/>
      <c r="AN353" s="195"/>
      <c r="AO353" s="202"/>
      <c r="AP353" s="195"/>
      <c r="AQ353" s="195"/>
      <c r="AR353" s="202"/>
      <c r="AS353" s="195"/>
      <c r="AT353" s="202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F353" s="195"/>
      <c r="BG353" s="195"/>
      <c r="BH353" s="195"/>
      <c r="BI353" s="195"/>
      <c r="BW353" s="195"/>
      <c r="BY353" s="195"/>
      <c r="BZ353" s="195"/>
      <c r="CA353" s="346"/>
      <c r="CB353" s="195"/>
      <c r="CC353" s="195"/>
    </row>
    <row r="354" spans="1:81" ht="15.75" customHeight="1">
      <c r="A354" s="203"/>
      <c r="B354" s="195"/>
      <c r="C354" s="195"/>
      <c r="D354" s="195"/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202"/>
      <c r="AI354" s="195"/>
      <c r="AJ354" s="202"/>
      <c r="AK354" s="195"/>
      <c r="AL354" s="195"/>
      <c r="AM354" s="202"/>
      <c r="AN354" s="195"/>
      <c r="AO354" s="202"/>
      <c r="AP354" s="195"/>
      <c r="AQ354" s="195"/>
      <c r="AR354" s="202"/>
      <c r="AS354" s="195"/>
      <c r="AT354" s="202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F354" s="195"/>
      <c r="BG354" s="195"/>
      <c r="BH354" s="195"/>
      <c r="BI354" s="195"/>
      <c r="BW354" s="195"/>
      <c r="BY354" s="195"/>
      <c r="BZ354" s="195"/>
      <c r="CA354" s="346"/>
      <c r="CB354" s="195"/>
      <c r="CC354" s="195"/>
    </row>
    <row r="355" spans="1:81" ht="15.75" customHeight="1">
      <c r="A355" s="203"/>
      <c r="B355" s="195"/>
      <c r="C355" s="195"/>
      <c r="D355" s="195"/>
      <c r="E355" s="195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202"/>
      <c r="AI355" s="195"/>
      <c r="AJ355" s="202"/>
      <c r="AK355" s="195"/>
      <c r="AL355" s="195"/>
      <c r="AM355" s="202"/>
      <c r="AN355" s="195"/>
      <c r="AO355" s="202"/>
      <c r="AP355" s="195"/>
      <c r="AQ355" s="195"/>
      <c r="AR355" s="202"/>
      <c r="AS355" s="195"/>
      <c r="AT355" s="202"/>
      <c r="AU355" s="195"/>
      <c r="AV355" s="195"/>
      <c r="AW355" s="195"/>
      <c r="AX355" s="195"/>
      <c r="AY355" s="195"/>
      <c r="AZ355" s="195"/>
      <c r="BA355" s="195"/>
      <c r="BB355" s="195"/>
      <c r="BC355" s="195"/>
      <c r="BD355" s="195"/>
      <c r="BF355" s="195"/>
      <c r="BG355" s="195"/>
      <c r="BH355" s="195"/>
      <c r="BI355" s="195"/>
      <c r="BW355" s="195"/>
      <c r="BY355" s="195"/>
      <c r="BZ355" s="195"/>
      <c r="CA355" s="346"/>
      <c r="CB355" s="195"/>
      <c r="CC355" s="195"/>
    </row>
    <row r="356" spans="1:81" ht="15.75" customHeight="1">
      <c r="A356" s="203"/>
      <c r="B356" s="195"/>
      <c r="C356" s="195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202"/>
      <c r="AI356" s="195"/>
      <c r="AJ356" s="202"/>
      <c r="AK356" s="195"/>
      <c r="AL356" s="195"/>
      <c r="AM356" s="202"/>
      <c r="AN356" s="195"/>
      <c r="AO356" s="202"/>
      <c r="AP356" s="195"/>
      <c r="AQ356" s="195"/>
      <c r="AR356" s="202"/>
      <c r="AS356" s="195"/>
      <c r="AT356" s="202"/>
      <c r="AU356" s="195"/>
      <c r="AV356" s="195"/>
      <c r="AW356" s="195"/>
      <c r="AX356" s="195"/>
      <c r="AY356" s="195"/>
      <c r="AZ356" s="195"/>
      <c r="BA356" s="195"/>
      <c r="BB356" s="195"/>
      <c r="BC356" s="195"/>
      <c r="BD356" s="195"/>
      <c r="BF356" s="195"/>
      <c r="BG356" s="195"/>
      <c r="BH356" s="195"/>
      <c r="BI356" s="195"/>
      <c r="BW356" s="195"/>
      <c r="BY356" s="195"/>
      <c r="BZ356" s="195"/>
      <c r="CA356" s="346"/>
      <c r="CB356" s="195"/>
      <c r="CC356" s="195"/>
    </row>
    <row r="357" spans="1:81" ht="15.75" customHeight="1">
      <c r="A357" s="203"/>
      <c r="B357" s="195"/>
      <c r="C357" s="195"/>
      <c r="D357" s="195"/>
      <c r="E357" s="195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208"/>
      <c r="AI357" s="195"/>
      <c r="AJ357" s="202"/>
      <c r="AK357" s="195"/>
      <c r="AL357" s="195"/>
      <c r="AM357" s="208"/>
      <c r="AN357" s="195"/>
      <c r="AO357" s="202"/>
      <c r="AP357" s="195"/>
      <c r="AQ357" s="195"/>
      <c r="AR357" s="208"/>
      <c r="AS357" s="195"/>
      <c r="AT357" s="202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F357" s="195"/>
      <c r="BG357" s="195"/>
      <c r="BH357" s="195"/>
      <c r="BI357" s="195"/>
      <c r="BW357" s="195"/>
      <c r="BY357" s="195"/>
      <c r="BZ357" s="195"/>
      <c r="CA357" s="346"/>
      <c r="CB357" s="195"/>
      <c r="CC357" s="195"/>
    </row>
    <row r="358" spans="1:81" ht="15.75" customHeight="1">
      <c r="A358" s="203"/>
      <c r="B358" s="195"/>
      <c r="C358" s="195"/>
      <c r="D358" s="195"/>
      <c r="E358" s="195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207"/>
      <c r="AI358" s="195"/>
      <c r="AJ358" s="202"/>
      <c r="AK358" s="195"/>
      <c r="AL358" s="195"/>
      <c r="AM358" s="207"/>
      <c r="AN358" s="195"/>
      <c r="AO358" s="202"/>
      <c r="AP358" s="195"/>
      <c r="AQ358" s="195"/>
      <c r="AR358" s="207"/>
      <c r="AS358" s="195"/>
      <c r="AT358" s="202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F358" s="195"/>
      <c r="BG358" s="195"/>
      <c r="BH358" s="195"/>
      <c r="BI358" s="195"/>
      <c r="BW358" s="195"/>
      <c r="BY358" s="195"/>
      <c r="BZ358" s="195"/>
      <c r="CA358" s="346"/>
      <c r="CB358" s="195"/>
      <c r="CC358" s="195"/>
    </row>
    <row r="359" spans="1:81" ht="15.75" customHeight="1">
      <c r="A359" s="198"/>
      <c r="B359" s="199"/>
      <c r="C359" s="199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199"/>
      <c r="AD359" s="199"/>
      <c r="AE359" s="199"/>
      <c r="AF359" s="199"/>
      <c r="AG359" s="199"/>
      <c r="AH359" s="199"/>
      <c r="AI359" s="199"/>
      <c r="AJ359" s="199"/>
      <c r="AK359" s="199"/>
      <c r="AL359" s="199"/>
      <c r="AM359" s="199"/>
      <c r="AN359" s="199"/>
      <c r="AO359" s="199"/>
      <c r="AP359" s="199"/>
      <c r="AQ359" s="199"/>
      <c r="AR359" s="199"/>
      <c r="AS359" s="199"/>
      <c r="AT359" s="199"/>
      <c r="AU359" s="199"/>
      <c r="AV359" s="199"/>
      <c r="AW359" s="199"/>
      <c r="AX359" s="199"/>
      <c r="AY359" s="199"/>
      <c r="AZ359" s="199"/>
      <c r="BA359" s="199"/>
      <c r="BB359" s="199"/>
      <c r="BC359" s="199"/>
      <c r="BD359" s="199"/>
      <c r="BE359" s="200"/>
      <c r="BF359" s="199"/>
      <c r="BG359" s="199"/>
      <c r="BH359" s="199"/>
      <c r="BI359" s="199"/>
      <c r="BJ359" s="200"/>
      <c r="BW359" s="199"/>
      <c r="BY359" s="199"/>
      <c r="BZ359" s="199"/>
      <c r="CA359" s="348"/>
      <c r="CB359" s="199"/>
      <c r="CC359" s="199"/>
    </row>
    <row r="360" spans="1:81" ht="15.75" customHeight="1">
      <c r="A360" s="203"/>
      <c r="B360" s="195"/>
      <c r="C360" s="195"/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202"/>
      <c r="AI360" s="195"/>
      <c r="AJ360" s="202"/>
      <c r="AK360" s="195"/>
      <c r="AL360" s="195"/>
      <c r="AM360" s="202"/>
      <c r="AN360" s="195"/>
      <c r="AO360" s="202"/>
      <c r="AP360" s="195"/>
      <c r="AQ360" s="195"/>
      <c r="AR360" s="202"/>
      <c r="AS360" s="195"/>
      <c r="AT360" s="202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F360" s="195"/>
      <c r="BG360" s="195"/>
      <c r="BH360" s="195"/>
      <c r="BI360" s="195"/>
      <c r="BW360" s="195"/>
      <c r="BY360" s="195"/>
      <c r="BZ360" s="195"/>
      <c r="CA360" s="346"/>
      <c r="CB360" s="195"/>
      <c r="CC360" s="195"/>
    </row>
    <row r="361" spans="1:81" ht="15.75" customHeight="1">
      <c r="A361" s="198"/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  <c r="AB361" s="199"/>
      <c r="AC361" s="199"/>
      <c r="AD361" s="199"/>
      <c r="AE361" s="199"/>
      <c r="AF361" s="199"/>
      <c r="AG361" s="199"/>
      <c r="AH361" s="199"/>
      <c r="AI361" s="199"/>
      <c r="AJ361" s="199"/>
      <c r="AK361" s="199"/>
      <c r="AL361" s="199"/>
      <c r="AM361" s="199"/>
      <c r="AN361" s="199"/>
      <c r="AO361" s="199"/>
      <c r="AP361" s="199"/>
      <c r="AQ361" s="199"/>
      <c r="AR361" s="199"/>
      <c r="AS361" s="199"/>
      <c r="AT361" s="199"/>
      <c r="AU361" s="199"/>
      <c r="AV361" s="199"/>
      <c r="AW361" s="199"/>
      <c r="AX361" s="199"/>
      <c r="AY361" s="199"/>
      <c r="AZ361" s="199"/>
      <c r="BA361" s="199"/>
      <c r="BB361" s="199"/>
      <c r="BC361" s="199"/>
      <c r="BD361" s="199"/>
      <c r="BE361" s="200"/>
      <c r="BF361" s="199"/>
      <c r="BG361" s="199"/>
      <c r="BH361" s="199"/>
      <c r="BI361" s="199"/>
      <c r="BJ361" s="200"/>
      <c r="BW361" s="199"/>
      <c r="BY361" s="199"/>
      <c r="BZ361" s="199"/>
      <c r="CA361" s="348"/>
      <c r="CB361" s="199"/>
      <c r="CC361" s="199"/>
    </row>
    <row r="362" spans="1:81" ht="15.75" customHeight="1">
      <c r="A362" s="203"/>
      <c r="B362" s="195"/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202"/>
      <c r="AI362" s="195"/>
      <c r="AJ362" s="202"/>
      <c r="AK362" s="195"/>
      <c r="AL362" s="195"/>
      <c r="AM362" s="202"/>
      <c r="AN362" s="195"/>
      <c r="AO362" s="202"/>
      <c r="AP362" s="195"/>
      <c r="AQ362" s="195"/>
      <c r="AR362" s="202"/>
      <c r="AS362" s="195"/>
      <c r="AT362" s="202"/>
      <c r="AU362" s="195"/>
      <c r="AV362" s="195"/>
      <c r="AW362" s="195"/>
      <c r="AX362" s="195"/>
      <c r="AY362" s="195"/>
      <c r="AZ362" s="195"/>
      <c r="BA362" s="195"/>
      <c r="BB362" s="195"/>
      <c r="BC362" s="195"/>
      <c r="BD362" s="195"/>
      <c r="BF362" s="195"/>
      <c r="BG362" s="195"/>
      <c r="BH362" s="195"/>
      <c r="BI362" s="195"/>
      <c r="BW362" s="195"/>
      <c r="BY362" s="195"/>
      <c r="BZ362" s="195"/>
      <c r="CA362" s="346"/>
      <c r="CB362" s="195"/>
      <c r="CC362" s="195"/>
    </row>
    <row r="363" spans="1:81" ht="15.75" customHeight="1">
      <c r="A363" s="201"/>
      <c r="B363" s="195"/>
      <c r="C363" s="195"/>
      <c r="D363" s="195"/>
      <c r="E363" s="195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208"/>
      <c r="AI363" s="195"/>
      <c r="AJ363" s="202"/>
      <c r="AK363" s="195"/>
      <c r="AL363" s="195"/>
      <c r="AM363" s="208"/>
      <c r="AN363" s="195"/>
      <c r="AO363" s="202"/>
      <c r="AP363" s="195"/>
      <c r="AQ363" s="195"/>
      <c r="AR363" s="208"/>
      <c r="AS363" s="195"/>
      <c r="AT363" s="202"/>
      <c r="AU363" s="195"/>
      <c r="AV363" s="195"/>
      <c r="AW363" s="195"/>
      <c r="AX363" s="195"/>
      <c r="AY363" s="195"/>
      <c r="AZ363" s="195"/>
      <c r="BA363" s="195"/>
      <c r="BB363" s="195"/>
      <c r="BC363" s="195"/>
      <c r="BD363" s="195"/>
      <c r="BF363" s="195"/>
      <c r="BG363" s="195"/>
      <c r="BH363" s="195"/>
      <c r="BI363" s="195"/>
      <c r="BW363" s="195"/>
      <c r="BY363" s="195"/>
      <c r="BZ363" s="195"/>
      <c r="CA363" s="346"/>
      <c r="CB363" s="195"/>
      <c r="CC363" s="195"/>
    </row>
    <row r="364" spans="1:81" ht="15.75" customHeight="1">
      <c r="A364" s="203"/>
      <c r="B364" s="195"/>
      <c r="C364" s="195"/>
      <c r="D364" s="195"/>
      <c r="E364" s="195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208"/>
      <c r="AI364" s="195"/>
      <c r="AJ364" s="202"/>
      <c r="AK364" s="195"/>
      <c r="AL364" s="195"/>
      <c r="AM364" s="208"/>
      <c r="AN364" s="195"/>
      <c r="AO364" s="202"/>
      <c r="AP364" s="195"/>
      <c r="AQ364" s="195"/>
      <c r="AR364" s="208"/>
      <c r="AS364" s="195"/>
      <c r="AT364" s="202"/>
      <c r="AU364" s="195"/>
      <c r="AV364" s="195"/>
      <c r="AW364" s="195"/>
      <c r="AX364" s="195"/>
      <c r="AY364" s="195"/>
      <c r="AZ364" s="195"/>
      <c r="BA364" s="195"/>
      <c r="BB364" s="195"/>
      <c r="BC364" s="195"/>
      <c r="BD364" s="195"/>
      <c r="BF364" s="195"/>
      <c r="BG364" s="195"/>
      <c r="BH364" s="195"/>
      <c r="BI364" s="195"/>
      <c r="BW364" s="195"/>
      <c r="BY364" s="195"/>
      <c r="BZ364" s="195"/>
      <c r="CA364" s="346"/>
      <c r="CB364" s="195"/>
      <c r="CC364" s="195"/>
    </row>
    <row r="365" spans="1:81" ht="15.75" customHeight="1">
      <c r="A365" s="203"/>
      <c r="B365" s="195"/>
      <c r="C365" s="195"/>
      <c r="D365" s="195"/>
      <c r="E365" s="195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202"/>
      <c r="AI365" s="195"/>
      <c r="AJ365" s="202"/>
      <c r="AK365" s="195"/>
      <c r="AL365" s="195"/>
      <c r="AM365" s="202"/>
      <c r="AN365" s="195"/>
      <c r="AO365" s="202"/>
      <c r="AP365" s="195"/>
      <c r="AQ365" s="195"/>
      <c r="AR365" s="202"/>
      <c r="AS365" s="195"/>
      <c r="AT365" s="202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F365" s="195"/>
      <c r="BG365" s="195"/>
      <c r="BH365" s="195"/>
      <c r="BI365" s="195"/>
      <c r="BW365" s="195"/>
      <c r="BY365" s="195"/>
      <c r="BZ365" s="195"/>
      <c r="CA365" s="346"/>
      <c r="CB365" s="195"/>
      <c r="CC365" s="195"/>
    </row>
    <row r="366" spans="1:81" ht="15.75" customHeight="1">
      <c r="A366" s="203"/>
      <c r="B366" s="195"/>
      <c r="C366" s="195"/>
      <c r="D366" s="195"/>
      <c r="E366" s="195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202"/>
      <c r="AI366" s="195"/>
      <c r="AJ366" s="202"/>
      <c r="AK366" s="195"/>
      <c r="AL366" s="195"/>
      <c r="AM366" s="202"/>
      <c r="AN366" s="195"/>
      <c r="AO366" s="202"/>
      <c r="AP366" s="195"/>
      <c r="AQ366" s="195"/>
      <c r="AR366" s="202"/>
      <c r="AS366" s="195"/>
      <c r="AT366" s="202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F366" s="195"/>
      <c r="BG366" s="195"/>
      <c r="BH366" s="195"/>
      <c r="BI366" s="195"/>
      <c r="BW366" s="195"/>
      <c r="BY366" s="195"/>
      <c r="BZ366" s="195"/>
      <c r="CA366" s="346"/>
      <c r="CB366" s="195"/>
      <c r="CC366" s="195"/>
    </row>
    <row r="367" spans="1:81" ht="15.75" customHeight="1">
      <c r="A367" s="203"/>
      <c r="B367" s="195"/>
      <c r="C367" s="195"/>
      <c r="D367" s="195"/>
      <c r="E367" s="195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202"/>
      <c r="AI367" s="195"/>
      <c r="AJ367" s="202"/>
      <c r="AK367" s="195"/>
      <c r="AL367" s="195"/>
      <c r="AM367" s="202"/>
      <c r="AN367" s="195"/>
      <c r="AO367" s="202"/>
      <c r="AP367" s="195"/>
      <c r="AQ367" s="195"/>
      <c r="AR367" s="202"/>
      <c r="AS367" s="195"/>
      <c r="AT367" s="202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F367" s="195"/>
      <c r="BG367" s="195"/>
      <c r="BH367" s="195"/>
      <c r="BI367" s="195"/>
      <c r="BW367" s="195"/>
      <c r="BY367" s="195"/>
      <c r="BZ367" s="195"/>
      <c r="CA367" s="346"/>
      <c r="CB367" s="195"/>
      <c r="CC367" s="195"/>
    </row>
    <row r="368" spans="1:81" ht="15.75" customHeight="1">
      <c r="A368" s="203"/>
      <c r="B368" s="195"/>
      <c r="C368" s="195"/>
      <c r="D368" s="195"/>
      <c r="E368" s="195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202"/>
      <c r="AI368" s="195"/>
      <c r="AJ368" s="202"/>
      <c r="AK368" s="195"/>
      <c r="AL368" s="195"/>
      <c r="AM368" s="202"/>
      <c r="AN368" s="195"/>
      <c r="AO368" s="202"/>
      <c r="AP368" s="195"/>
      <c r="AQ368" s="195"/>
      <c r="AR368" s="202"/>
      <c r="AS368" s="195"/>
      <c r="AT368" s="202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F368" s="195"/>
      <c r="BG368" s="195"/>
      <c r="BH368" s="195"/>
      <c r="BI368" s="195"/>
      <c r="BW368" s="195"/>
      <c r="BY368" s="195"/>
      <c r="BZ368" s="195"/>
      <c r="CA368" s="346"/>
      <c r="CB368" s="195"/>
      <c r="CC368" s="195"/>
    </row>
    <row r="369" spans="1:81" ht="15.75" customHeight="1">
      <c r="A369" s="203"/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215"/>
      <c r="O369" s="215"/>
      <c r="P369" s="215"/>
      <c r="Q369" s="195"/>
      <c r="R369" s="216"/>
      <c r="S369" s="205"/>
      <c r="T369" s="216"/>
      <c r="U369" s="20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216"/>
      <c r="AH369" s="202"/>
      <c r="AI369" s="216"/>
      <c r="AJ369" s="202"/>
      <c r="AK369" s="195"/>
      <c r="AL369" s="216"/>
      <c r="AM369" s="202"/>
      <c r="AN369" s="216"/>
      <c r="AO369" s="202"/>
      <c r="AP369" s="195"/>
      <c r="AQ369" s="216"/>
      <c r="AR369" s="202"/>
      <c r="AS369" s="216"/>
      <c r="AT369" s="202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F369" s="195"/>
      <c r="BG369" s="195"/>
      <c r="BH369" s="195"/>
      <c r="BI369" s="195"/>
      <c r="BW369" s="215"/>
      <c r="BY369" s="195"/>
      <c r="BZ369" s="195"/>
      <c r="CA369" s="346"/>
      <c r="CB369" s="195"/>
      <c r="CC369" s="195"/>
    </row>
    <row r="370" spans="1:81" ht="15.75" customHeight="1">
      <c r="A370" s="203"/>
      <c r="B370" s="195"/>
      <c r="C370" s="195"/>
      <c r="D370" s="195"/>
      <c r="E370" s="195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202"/>
      <c r="AI370" s="195"/>
      <c r="AJ370" s="202"/>
      <c r="AK370" s="195"/>
      <c r="AL370" s="195"/>
      <c r="AM370" s="202"/>
      <c r="AN370" s="195"/>
      <c r="AO370" s="202"/>
      <c r="AP370" s="195"/>
      <c r="AQ370" s="195"/>
      <c r="AR370" s="202"/>
      <c r="AS370" s="195"/>
      <c r="AT370" s="202"/>
      <c r="AU370" s="195"/>
      <c r="AV370" s="195"/>
      <c r="AW370" s="195"/>
      <c r="AX370" s="195"/>
      <c r="AY370" s="195"/>
      <c r="AZ370" s="195"/>
      <c r="BA370" s="195"/>
      <c r="BB370" s="195"/>
      <c r="BC370" s="195"/>
      <c r="BD370" s="195"/>
      <c r="BF370" s="195"/>
      <c r="BG370" s="195"/>
      <c r="BH370" s="195"/>
      <c r="BI370" s="195"/>
      <c r="BW370" s="195"/>
      <c r="BY370" s="195"/>
      <c r="BZ370" s="195"/>
      <c r="CA370" s="346"/>
      <c r="CB370" s="195"/>
      <c r="CC370" s="195"/>
    </row>
    <row r="371" spans="1:81" ht="15.75" customHeight="1">
      <c r="A371" s="203"/>
      <c r="B371" s="195"/>
      <c r="C371" s="195"/>
      <c r="D371" s="195"/>
      <c r="E371" s="195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202"/>
      <c r="AI371" s="195"/>
      <c r="AJ371" s="202"/>
      <c r="AK371" s="195"/>
      <c r="AL371" s="195"/>
      <c r="AM371" s="202"/>
      <c r="AN371" s="195"/>
      <c r="AO371" s="202"/>
      <c r="AP371" s="195"/>
      <c r="AQ371" s="195"/>
      <c r="AR371" s="202"/>
      <c r="AS371" s="195"/>
      <c r="AT371" s="202"/>
      <c r="AU371" s="195"/>
      <c r="AV371" s="195"/>
      <c r="AW371" s="195"/>
      <c r="AX371" s="195"/>
      <c r="AY371" s="195"/>
      <c r="AZ371" s="195"/>
      <c r="BA371" s="195"/>
      <c r="BB371" s="195"/>
      <c r="BC371" s="195"/>
      <c r="BD371" s="195"/>
      <c r="BF371" s="195"/>
      <c r="BG371" s="195"/>
      <c r="BH371" s="195"/>
      <c r="BI371" s="195"/>
      <c r="BW371" s="195"/>
      <c r="BY371" s="195"/>
      <c r="BZ371" s="195"/>
      <c r="CA371" s="346"/>
      <c r="CB371" s="195"/>
      <c r="CC371" s="195"/>
    </row>
    <row r="372" spans="1:81" ht="15.75" customHeight="1">
      <c r="A372" s="203"/>
      <c r="B372" s="195"/>
      <c r="C372" s="195"/>
      <c r="D372" s="195"/>
      <c r="E372" s="195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202"/>
      <c r="AI372" s="195"/>
      <c r="AJ372" s="202"/>
      <c r="AK372" s="195"/>
      <c r="AL372" s="195"/>
      <c r="AM372" s="202"/>
      <c r="AN372" s="195"/>
      <c r="AO372" s="202"/>
      <c r="AP372" s="195"/>
      <c r="AQ372" s="195"/>
      <c r="AR372" s="202"/>
      <c r="AS372" s="195"/>
      <c r="AT372" s="202"/>
      <c r="AU372" s="195"/>
      <c r="AV372" s="195"/>
      <c r="AW372" s="195"/>
      <c r="AX372" s="195"/>
      <c r="AY372" s="195"/>
      <c r="AZ372" s="195"/>
      <c r="BA372" s="195"/>
      <c r="BB372" s="195"/>
      <c r="BC372" s="195"/>
      <c r="BD372" s="195"/>
      <c r="BF372" s="195"/>
      <c r="BG372" s="195"/>
      <c r="BH372" s="195"/>
      <c r="BI372" s="195"/>
      <c r="BW372" s="195"/>
      <c r="BY372" s="195"/>
      <c r="BZ372" s="195"/>
      <c r="CA372" s="346"/>
      <c r="CB372" s="195"/>
      <c r="CC372" s="195"/>
    </row>
    <row r="373" spans="1:81" ht="15.75" customHeight="1">
      <c r="A373" s="203"/>
      <c r="B373" s="195"/>
      <c r="C373" s="195"/>
      <c r="D373" s="195"/>
      <c r="E373" s="195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202"/>
      <c r="AI373" s="195"/>
      <c r="AJ373" s="202"/>
      <c r="AK373" s="195"/>
      <c r="AL373" s="195"/>
      <c r="AM373" s="202"/>
      <c r="AN373" s="195"/>
      <c r="AO373" s="202"/>
      <c r="AP373" s="195"/>
      <c r="AQ373" s="195"/>
      <c r="AR373" s="202"/>
      <c r="AS373" s="195"/>
      <c r="AT373" s="202"/>
      <c r="AU373" s="195"/>
      <c r="AV373" s="195"/>
      <c r="AW373" s="195"/>
      <c r="AX373" s="195"/>
      <c r="AY373" s="195"/>
      <c r="AZ373" s="195"/>
      <c r="BA373" s="195"/>
      <c r="BB373" s="195"/>
      <c r="BC373" s="195"/>
      <c r="BD373" s="195"/>
      <c r="BF373" s="195"/>
      <c r="BG373" s="195"/>
      <c r="BH373" s="195"/>
      <c r="BI373" s="195"/>
      <c r="BW373" s="195"/>
      <c r="BY373" s="195"/>
      <c r="BZ373" s="195"/>
      <c r="CA373" s="346"/>
      <c r="CB373" s="195"/>
      <c r="CC373" s="195"/>
    </row>
    <row r="374" spans="1:81" ht="15.75" customHeight="1">
      <c r="A374" s="203"/>
      <c r="B374" s="195"/>
      <c r="C374" s="195"/>
      <c r="D374" s="195"/>
      <c r="E374" s="195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202"/>
      <c r="AI374" s="195"/>
      <c r="AJ374" s="202"/>
      <c r="AK374" s="195"/>
      <c r="AL374" s="195"/>
      <c r="AM374" s="202"/>
      <c r="AN374" s="195"/>
      <c r="AO374" s="202"/>
      <c r="AP374" s="195"/>
      <c r="AQ374" s="195"/>
      <c r="AR374" s="202"/>
      <c r="AS374" s="195"/>
      <c r="AT374" s="202"/>
      <c r="AU374" s="195"/>
      <c r="AV374" s="195"/>
      <c r="AW374" s="195"/>
      <c r="AX374" s="195"/>
      <c r="AY374" s="195"/>
      <c r="AZ374" s="195"/>
      <c r="BA374" s="195"/>
      <c r="BB374" s="195"/>
      <c r="BC374" s="195"/>
      <c r="BD374" s="195"/>
      <c r="BF374" s="195"/>
      <c r="BG374" s="195"/>
      <c r="BH374" s="195"/>
      <c r="BI374" s="195"/>
      <c r="BW374" s="195"/>
      <c r="BY374" s="195"/>
      <c r="BZ374" s="195"/>
      <c r="CA374" s="346"/>
      <c r="CB374" s="195"/>
      <c r="CC374" s="195"/>
    </row>
    <row r="375" spans="1:81" ht="15.75" customHeight="1">
      <c r="A375" s="198"/>
      <c r="B375" s="199"/>
      <c r="C375" s="199"/>
      <c r="D375" s="199"/>
      <c r="E375" s="199"/>
      <c r="F375" s="199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99"/>
      <c r="AB375" s="199"/>
      <c r="AC375" s="199"/>
      <c r="AD375" s="199"/>
      <c r="AE375" s="199"/>
      <c r="AF375" s="199"/>
      <c r="AG375" s="199"/>
      <c r="AH375" s="199"/>
      <c r="AI375" s="199"/>
      <c r="AJ375" s="199"/>
      <c r="AK375" s="199"/>
      <c r="AL375" s="199"/>
      <c r="AM375" s="199"/>
      <c r="AN375" s="199"/>
      <c r="AO375" s="199"/>
      <c r="AP375" s="199"/>
      <c r="AQ375" s="199"/>
      <c r="AR375" s="199"/>
      <c r="AS375" s="199"/>
      <c r="AT375" s="199"/>
      <c r="AU375" s="199"/>
      <c r="AV375" s="199"/>
      <c r="AW375" s="199"/>
      <c r="AX375" s="199"/>
      <c r="AY375" s="199"/>
      <c r="AZ375" s="199"/>
      <c r="BA375" s="199"/>
      <c r="BB375" s="199"/>
      <c r="BC375" s="199"/>
      <c r="BD375" s="199"/>
      <c r="BE375" s="200"/>
      <c r="BF375" s="199"/>
      <c r="BG375" s="199"/>
      <c r="BH375" s="199"/>
      <c r="BI375" s="199"/>
      <c r="BJ375" s="200"/>
      <c r="BW375" s="199"/>
      <c r="BY375" s="199"/>
      <c r="BZ375" s="199"/>
      <c r="CA375" s="348"/>
      <c r="CB375" s="199"/>
      <c r="CC375" s="199"/>
    </row>
    <row r="376" spans="1:81" ht="15.75" customHeight="1">
      <c r="A376" s="203"/>
      <c r="B376" s="195"/>
      <c r="C376" s="195"/>
      <c r="D376" s="195"/>
      <c r="E376" s="195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202"/>
      <c r="AI376" s="195"/>
      <c r="AJ376" s="202"/>
      <c r="AK376" s="195"/>
      <c r="AL376" s="195"/>
      <c r="AM376" s="202"/>
      <c r="AN376" s="195"/>
      <c r="AO376" s="202"/>
      <c r="AP376" s="195"/>
      <c r="AQ376" s="195"/>
      <c r="AR376" s="202"/>
      <c r="AS376" s="195"/>
      <c r="AT376" s="202"/>
      <c r="AU376" s="195"/>
      <c r="AV376" s="195"/>
      <c r="AW376" s="195"/>
      <c r="AX376" s="195"/>
      <c r="AY376" s="195"/>
      <c r="AZ376" s="195"/>
      <c r="BA376" s="195"/>
      <c r="BB376" s="195"/>
      <c r="BC376" s="195"/>
      <c r="BD376" s="195"/>
      <c r="BF376" s="195"/>
      <c r="BG376" s="195"/>
      <c r="BH376" s="195"/>
      <c r="BI376" s="195"/>
      <c r="BW376" s="195"/>
      <c r="BY376" s="195"/>
      <c r="BZ376" s="195"/>
      <c r="CA376" s="346"/>
      <c r="CB376" s="195"/>
      <c r="CC376" s="195"/>
    </row>
    <row r="377" spans="1:81" ht="15.75" customHeight="1">
      <c r="A377" s="203"/>
      <c r="B377" s="195"/>
      <c r="C377" s="195"/>
      <c r="D377" s="195"/>
      <c r="E377" s="195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202"/>
      <c r="AI377" s="195"/>
      <c r="AJ377" s="202"/>
      <c r="AK377" s="195"/>
      <c r="AL377" s="195"/>
      <c r="AM377" s="202"/>
      <c r="AN377" s="195"/>
      <c r="AO377" s="202"/>
      <c r="AP377" s="195"/>
      <c r="AQ377" s="195"/>
      <c r="AR377" s="202"/>
      <c r="AS377" s="195"/>
      <c r="AT377" s="202"/>
      <c r="AU377" s="195"/>
      <c r="AV377" s="195"/>
      <c r="AW377" s="195"/>
      <c r="AX377" s="195"/>
      <c r="AY377" s="195"/>
      <c r="AZ377" s="195"/>
      <c r="BA377" s="195"/>
      <c r="BB377" s="195"/>
      <c r="BC377" s="195"/>
      <c r="BD377" s="195"/>
      <c r="BF377" s="195"/>
      <c r="BG377" s="195"/>
      <c r="BH377" s="195"/>
      <c r="BI377" s="195"/>
      <c r="BW377" s="195"/>
      <c r="BY377" s="195"/>
      <c r="BZ377" s="195"/>
      <c r="CA377" s="346"/>
      <c r="CB377" s="195"/>
      <c r="CC377" s="195"/>
    </row>
    <row r="378" spans="1:81" ht="15.75" customHeight="1">
      <c r="A378" s="203"/>
      <c r="B378" s="195"/>
      <c r="C378" s="195"/>
      <c r="D378" s="195"/>
      <c r="E378" s="195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202"/>
      <c r="AI378" s="195"/>
      <c r="AJ378" s="202"/>
      <c r="AK378" s="195"/>
      <c r="AL378" s="195"/>
      <c r="AM378" s="202"/>
      <c r="AN378" s="195"/>
      <c r="AO378" s="202"/>
      <c r="AP378" s="195"/>
      <c r="AQ378" s="195"/>
      <c r="AR378" s="202"/>
      <c r="AS378" s="195"/>
      <c r="AT378" s="202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F378" s="195"/>
      <c r="BG378" s="195"/>
      <c r="BH378" s="195"/>
      <c r="BI378" s="195"/>
      <c r="BW378" s="195"/>
      <c r="BY378" s="195"/>
      <c r="BZ378" s="195"/>
      <c r="CA378" s="346"/>
      <c r="CB378" s="195"/>
      <c r="CC378" s="195"/>
    </row>
    <row r="379" spans="1:81" ht="15.75" customHeight="1">
      <c r="A379" s="203"/>
      <c r="B379" s="195"/>
      <c r="C379" s="195"/>
      <c r="D379" s="195"/>
      <c r="E379" s="195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202"/>
      <c r="AI379" s="195"/>
      <c r="AJ379" s="202"/>
      <c r="AK379" s="195"/>
      <c r="AL379" s="195"/>
      <c r="AM379" s="202"/>
      <c r="AN379" s="195"/>
      <c r="AO379" s="202"/>
      <c r="AP379" s="195"/>
      <c r="AQ379" s="195"/>
      <c r="AR379" s="202"/>
      <c r="AS379" s="195"/>
      <c r="AT379" s="202"/>
      <c r="AU379" s="195"/>
      <c r="AV379" s="195"/>
      <c r="AW379" s="195"/>
      <c r="AX379" s="195"/>
      <c r="AY379" s="195"/>
      <c r="AZ379" s="195"/>
      <c r="BA379" s="195"/>
      <c r="BB379" s="195"/>
      <c r="BC379" s="195"/>
      <c r="BD379" s="195"/>
      <c r="BF379" s="195"/>
      <c r="BG379" s="195"/>
      <c r="BH379" s="195"/>
      <c r="BI379" s="195"/>
      <c r="BW379" s="195"/>
      <c r="BY379" s="195"/>
      <c r="BZ379" s="195"/>
      <c r="CA379" s="346"/>
      <c r="CB379" s="195"/>
      <c r="CC379" s="195"/>
    </row>
    <row r="380" spans="1:81" ht="15" customHeight="1">
      <c r="A380" s="203"/>
      <c r="B380" s="195"/>
      <c r="C380" s="195"/>
      <c r="D380" s="195"/>
      <c r="E380" s="195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208"/>
      <c r="AI380" s="195"/>
      <c r="AJ380" s="202"/>
      <c r="AK380" s="195"/>
      <c r="AL380" s="195"/>
      <c r="AM380" s="208"/>
      <c r="AN380" s="195"/>
      <c r="AO380" s="202"/>
      <c r="AP380" s="195"/>
      <c r="AQ380" s="195"/>
      <c r="AR380" s="208"/>
      <c r="AS380" s="195"/>
      <c r="AT380" s="202"/>
      <c r="AU380" s="195"/>
      <c r="AV380" s="195"/>
      <c r="AW380" s="195"/>
      <c r="AX380" s="195"/>
      <c r="AY380" s="195"/>
      <c r="AZ380" s="195"/>
      <c r="BA380" s="195"/>
      <c r="BB380" s="195"/>
      <c r="BC380" s="195"/>
      <c r="BD380" s="195"/>
      <c r="BF380" s="195"/>
      <c r="BG380" s="195"/>
      <c r="BH380" s="195"/>
      <c r="BI380" s="195"/>
      <c r="BW380" s="195"/>
      <c r="BY380" s="195"/>
      <c r="BZ380" s="195"/>
      <c r="CA380" s="346"/>
      <c r="CB380" s="195"/>
      <c r="CC380" s="195"/>
    </row>
    <row r="381" spans="1:81" ht="15.75" customHeight="1">
      <c r="A381" s="203"/>
      <c r="B381" s="195"/>
      <c r="C381" s="195"/>
      <c r="D381" s="195"/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202"/>
      <c r="AI381" s="195"/>
      <c r="AJ381" s="202"/>
      <c r="AK381" s="195"/>
      <c r="AL381" s="195"/>
      <c r="AM381" s="202"/>
      <c r="AN381" s="195"/>
      <c r="AO381" s="202"/>
      <c r="AP381" s="195"/>
      <c r="AQ381" s="195"/>
      <c r="AR381" s="202"/>
      <c r="AS381" s="195"/>
      <c r="AT381" s="202"/>
      <c r="AU381" s="195"/>
      <c r="AV381" s="195"/>
      <c r="AW381" s="195"/>
      <c r="AX381" s="195"/>
      <c r="AY381" s="195"/>
      <c r="AZ381" s="195"/>
      <c r="BA381" s="195"/>
      <c r="BB381" s="195"/>
      <c r="BC381" s="195"/>
      <c r="BD381" s="195"/>
      <c r="BF381" s="195"/>
      <c r="BG381" s="195"/>
      <c r="BH381" s="195"/>
      <c r="BI381" s="195"/>
      <c r="BW381" s="195"/>
      <c r="BY381" s="195"/>
      <c r="BZ381" s="195"/>
      <c r="CA381" s="346"/>
      <c r="CB381" s="195"/>
      <c r="CC381" s="195"/>
    </row>
    <row r="382" spans="1:81" ht="15.75" customHeight="1">
      <c r="A382" s="201"/>
      <c r="B382" s="195"/>
      <c r="C382" s="195"/>
      <c r="D382" s="195"/>
      <c r="E382" s="195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202"/>
      <c r="AI382" s="195"/>
      <c r="AJ382" s="202"/>
      <c r="AK382" s="195"/>
      <c r="AL382" s="195"/>
      <c r="AM382" s="202"/>
      <c r="AN382" s="195"/>
      <c r="AO382" s="202"/>
      <c r="AP382" s="195"/>
      <c r="AQ382" s="195"/>
      <c r="AR382" s="202"/>
      <c r="AS382" s="195"/>
      <c r="AT382" s="202"/>
      <c r="AU382" s="195"/>
      <c r="AV382" s="195"/>
      <c r="AW382" s="195"/>
      <c r="AX382" s="195"/>
      <c r="AY382" s="195"/>
      <c r="AZ382" s="195"/>
      <c r="BA382" s="195"/>
      <c r="BB382" s="195"/>
      <c r="BC382" s="195"/>
      <c r="BD382" s="195"/>
      <c r="BF382" s="195"/>
      <c r="BG382" s="195"/>
      <c r="BH382" s="195"/>
      <c r="BI382" s="195"/>
      <c r="BW382" s="195"/>
      <c r="BY382" s="195"/>
      <c r="BZ382" s="195"/>
      <c r="CA382" s="346"/>
      <c r="CB382" s="195"/>
      <c r="CC382" s="195"/>
    </row>
    <row r="383" spans="1:81" ht="15.75" customHeight="1">
      <c r="A383" s="198"/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  <c r="AS383" s="199"/>
      <c r="AT383" s="199"/>
      <c r="AU383" s="199"/>
      <c r="AV383" s="199"/>
      <c r="AW383" s="199"/>
      <c r="AX383" s="199"/>
      <c r="AY383" s="199"/>
      <c r="AZ383" s="199"/>
      <c r="BA383" s="199"/>
      <c r="BB383" s="199"/>
      <c r="BC383" s="199"/>
      <c r="BD383" s="199"/>
      <c r="BF383" s="199"/>
      <c r="BG383" s="199"/>
      <c r="BH383" s="199"/>
      <c r="BI383" s="199"/>
      <c r="BW383" s="199"/>
      <c r="BY383" s="199"/>
      <c r="BZ383" s="199"/>
      <c r="CA383" s="348"/>
      <c r="CB383" s="199"/>
      <c r="CC383" s="199"/>
    </row>
    <row r="384" spans="1:81" ht="15.75" customHeight="1">
      <c r="A384" s="203"/>
      <c r="B384" s="195"/>
      <c r="C384" s="195"/>
      <c r="D384" s="195"/>
      <c r="E384" s="195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202"/>
      <c r="AI384" s="195"/>
      <c r="AJ384" s="210"/>
      <c r="AK384" s="195"/>
      <c r="AL384" s="195"/>
      <c r="AM384" s="202"/>
      <c r="AN384" s="195"/>
      <c r="AO384" s="210"/>
      <c r="AP384" s="195"/>
      <c r="AQ384" s="195"/>
      <c r="AR384" s="202"/>
      <c r="AS384" s="195"/>
      <c r="AT384" s="210"/>
      <c r="AU384" s="195"/>
      <c r="AV384" s="195"/>
      <c r="AW384" s="195"/>
      <c r="AX384" s="195"/>
      <c r="AY384" s="195"/>
      <c r="AZ384" s="195"/>
      <c r="BA384" s="195"/>
      <c r="BB384" s="195"/>
      <c r="BC384" s="195"/>
      <c r="BD384" s="195"/>
      <c r="BF384" s="195"/>
      <c r="BG384" s="195"/>
      <c r="BH384" s="195"/>
      <c r="BI384" s="195"/>
      <c r="BW384" s="195"/>
      <c r="BY384" s="195"/>
      <c r="BZ384" s="195"/>
      <c r="CA384" s="346"/>
      <c r="CB384" s="195"/>
      <c r="CC384" s="195"/>
    </row>
    <row r="385" spans="1:81" ht="15.75" customHeight="1">
      <c r="A385" s="203"/>
      <c r="B385" s="195"/>
      <c r="C385" s="195"/>
      <c r="D385" s="195"/>
      <c r="E385" s="195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202"/>
      <c r="AI385" s="195"/>
      <c r="AJ385" s="202"/>
      <c r="AK385" s="195"/>
      <c r="AL385" s="195"/>
      <c r="AM385" s="202"/>
      <c r="AN385" s="195"/>
      <c r="AO385" s="202"/>
      <c r="AP385" s="195"/>
      <c r="AQ385" s="195"/>
      <c r="AR385" s="202"/>
      <c r="AS385" s="195"/>
      <c r="AT385" s="202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F385" s="195"/>
      <c r="BG385" s="195"/>
      <c r="BH385" s="195"/>
      <c r="BI385" s="195"/>
      <c r="BW385" s="195"/>
      <c r="BY385" s="195"/>
      <c r="BZ385" s="195"/>
      <c r="CA385" s="346"/>
      <c r="CB385" s="195"/>
      <c r="CC385" s="195"/>
    </row>
    <row r="386" spans="1:81" ht="15.75" customHeight="1">
      <c r="A386" s="203"/>
      <c r="B386" s="195"/>
      <c r="C386" s="195"/>
      <c r="D386" s="195"/>
      <c r="E386" s="195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202"/>
      <c r="AI386" s="195"/>
      <c r="AJ386" s="202"/>
      <c r="AK386" s="195"/>
      <c r="AL386" s="195"/>
      <c r="AM386" s="202"/>
      <c r="AN386" s="195"/>
      <c r="AO386" s="202"/>
      <c r="AP386" s="195"/>
      <c r="AQ386" s="195"/>
      <c r="AR386" s="202"/>
      <c r="AS386" s="195"/>
      <c r="AT386" s="202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F386" s="195"/>
      <c r="BG386" s="195"/>
      <c r="BH386" s="195"/>
      <c r="BI386" s="195"/>
      <c r="BW386" s="195"/>
      <c r="BY386" s="195"/>
      <c r="BZ386" s="195"/>
      <c r="CA386" s="346"/>
      <c r="CB386" s="195"/>
      <c r="CC386" s="195"/>
    </row>
    <row r="387" spans="1:81" ht="15.75" customHeight="1">
      <c r="A387" s="203"/>
      <c r="B387" s="195"/>
      <c r="C387" s="195"/>
      <c r="D387" s="195"/>
      <c r="E387" s="195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202"/>
      <c r="AI387" s="195"/>
      <c r="AJ387" s="202"/>
      <c r="AK387" s="195"/>
      <c r="AL387" s="195"/>
      <c r="AM387" s="202"/>
      <c r="AN387" s="195"/>
      <c r="AO387" s="202"/>
      <c r="AP387" s="195"/>
      <c r="AQ387" s="195"/>
      <c r="AR387" s="202"/>
      <c r="AS387" s="195"/>
      <c r="AT387" s="202"/>
      <c r="AU387" s="195"/>
      <c r="AV387" s="195"/>
      <c r="AW387" s="195"/>
      <c r="AX387" s="195"/>
      <c r="AY387" s="195"/>
      <c r="AZ387" s="195"/>
      <c r="BA387" s="195"/>
      <c r="BB387" s="195"/>
      <c r="BC387" s="195"/>
      <c r="BD387" s="195"/>
      <c r="BF387" s="195"/>
      <c r="BG387" s="195"/>
      <c r="BH387" s="195"/>
      <c r="BI387" s="195"/>
      <c r="BW387" s="195"/>
      <c r="BY387" s="195"/>
      <c r="BZ387" s="195"/>
      <c r="CA387" s="346"/>
      <c r="CB387" s="195"/>
      <c r="CC387" s="195"/>
    </row>
    <row r="388" spans="1:81" ht="15.75" customHeight="1">
      <c r="A388" s="203"/>
      <c r="B388" s="195"/>
      <c r="C388" s="195"/>
      <c r="D388" s="195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202"/>
      <c r="AI388" s="195"/>
      <c r="AJ388" s="202"/>
      <c r="AK388" s="195"/>
      <c r="AL388" s="195"/>
      <c r="AM388" s="202"/>
      <c r="AN388" s="195"/>
      <c r="AO388" s="202"/>
      <c r="AP388" s="195"/>
      <c r="AQ388" s="195"/>
      <c r="AR388" s="202"/>
      <c r="AS388" s="195"/>
      <c r="AT388" s="202"/>
      <c r="AU388" s="195"/>
      <c r="AV388" s="195"/>
      <c r="AW388" s="195"/>
      <c r="AX388" s="195"/>
      <c r="AY388" s="195"/>
      <c r="AZ388" s="195"/>
      <c r="BA388" s="195"/>
      <c r="BB388" s="195"/>
      <c r="BC388" s="195"/>
      <c r="BD388" s="195"/>
      <c r="BF388" s="195"/>
      <c r="BG388" s="195"/>
      <c r="BH388" s="195"/>
      <c r="BI388" s="195"/>
      <c r="BW388" s="195"/>
      <c r="BY388" s="195"/>
      <c r="BZ388" s="195"/>
      <c r="CA388" s="346"/>
      <c r="CB388" s="195"/>
      <c r="CC388" s="195"/>
    </row>
    <row r="389" spans="1:81" ht="15.75" customHeight="1">
      <c r="A389" s="203"/>
      <c r="B389" s="195"/>
      <c r="C389" s="195"/>
      <c r="D389" s="195"/>
      <c r="E389" s="195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202"/>
      <c r="AI389" s="195"/>
      <c r="AJ389" s="202"/>
      <c r="AK389" s="195"/>
      <c r="AL389" s="195"/>
      <c r="AM389" s="202"/>
      <c r="AN389" s="195"/>
      <c r="AO389" s="202"/>
      <c r="AP389" s="195"/>
      <c r="AQ389" s="195"/>
      <c r="AR389" s="202"/>
      <c r="AS389" s="195"/>
      <c r="AT389" s="202"/>
      <c r="AU389" s="195"/>
      <c r="AV389" s="195"/>
      <c r="AW389" s="195"/>
      <c r="AX389" s="195"/>
      <c r="AY389" s="195"/>
      <c r="AZ389" s="195"/>
      <c r="BA389" s="195"/>
      <c r="BB389" s="195"/>
      <c r="BC389" s="195"/>
      <c r="BD389" s="195"/>
      <c r="BF389" s="195"/>
      <c r="BG389" s="195"/>
      <c r="BH389" s="195"/>
      <c r="BI389" s="195"/>
      <c r="BW389" s="195"/>
      <c r="BY389" s="195"/>
      <c r="BZ389" s="195"/>
      <c r="CA389" s="346"/>
      <c r="CB389" s="195"/>
      <c r="CC389" s="195"/>
    </row>
    <row r="390" spans="1:81" ht="15.75" customHeight="1">
      <c r="A390" s="201"/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202"/>
      <c r="AI390" s="195"/>
      <c r="AJ390" s="202"/>
      <c r="AK390" s="195"/>
      <c r="AL390" s="195"/>
      <c r="AM390" s="202"/>
      <c r="AN390" s="195"/>
      <c r="AO390" s="202"/>
      <c r="AP390" s="195"/>
      <c r="AQ390" s="195"/>
      <c r="AR390" s="202"/>
      <c r="AS390" s="195"/>
      <c r="AT390" s="202"/>
      <c r="AU390" s="195"/>
      <c r="AV390" s="195"/>
      <c r="AW390" s="195"/>
      <c r="AX390" s="195"/>
      <c r="AY390" s="195"/>
      <c r="AZ390" s="195"/>
      <c r="BA390" s="195"/>
      <c r="BB390" s="195"/>
      <c r="BC390" s="195"/>
      <c r="BD390" s="195"/>
      <c r="BF390" s="195"/>
      <c r="BG390" s="195"/>
      <c r="BH390" s="195"/>
      <c r="BI390" s="195"/>
      <c r="BW390" s="195"/>
      <c r="BY390" s="195"/>
      <c r="BZ390" s="195"/>
      <c r="CA390" s="346"/>
      <c r="CB390" s="195"/>
      <c r="CC390" s="195"/>
    </row>
    <row r="391" spans="1:81" ht="15.75" customHeight="1">
      <c r="A391" s="201"/>
      <c r="B391" s="195"/>
      <c r="C391" s="195"/>
      <c r="D391" s="195"/>
      <c r="E391" s="195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202"/>
      <c r="AI391" s="195"/>
      <c r="AJ391" s="202"/>
      <c r="AK391" s="195"/>
      <c r="AL391" s="195"/>
      <c r="AM391" s="202"/>
      <c r="AN391" s="195"/>
      <c r="AO391" s="202"/>
      <c r="AP391" s="195"/>
      <c r="AQ391" s="195"/>
      <c r="AR391" s="202"/>
      <c r="AS391" s="195"/>
      <c r="AT391" s="202"/>
      <c r="AU391" s="195"/>
      <c r="AV391" s="195"/>
      <c r="AW391" s="195"/>
      <c r="AX391" s="195"/>
      <c r="AY391" s="195"/>
      <c r="AZ391" s="195"/>
      <c r="BA391" s="195"/>
      <c r="BB391" s="195"/>
      <c r="BC391" s="195"/>
      <c r="BD391" s="195"/>
      <c r="BF391" s="195"/>
      <c r="BG391" s="195"/>
      <c r="BH391" s="195"/>
      <c r="BI391" s="195"/>
      <c r="BW391" s="195"/>
      <c r="BY391" s="195"/>
      <c r="BZ391" s="195"/>
      <c r="CA391" s="346"/>
      <c r="CB391" s="195"/>
      <c r="CC391" s="195"/>
    </row>
    <row r="392" spans="1:81" ht="15.75" customHeight="1">
      <c r="A392" s="198"/>
      <c r="B392" s="199"/>
      <c r="C392" s="199"/>
      <c r="D392" s="199"/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199"/>
      <c r="AT392" s="199"/>
      <c r="AU392" s="199"/>
      <c r="AV392" s="199"/>
      <c r="AW392" s="199"/>
      <c r="AX392" s="199"/>
      <c r="AY392" s="199"/>
      <c r="AZ392" s="199"/>
      <c r="BA392" s="199"/>
      <c r="BB392" s="199"/>
      <c r="BC392" s="199"/>
      <c r="BD392" s="199"/>
      <c r="BF392" s="199"/>
      <c r="BG392" s="199"/>
      <c r="BH392" s="199"/>
      <c r="BI392" s="199"/>
      <c r="BW392" s="199"/>
      <c r="BY392" s="199"/>
      <c r="BZ392" s="199"/>
      <c r="CA392" s="348"/>
      <c r="CB392" s="199"/>
      <c r="CC392" s="199"/>
    </row>
    <row r="393" spans="1:81" ht="15.75" customHeight="1">
      <c r="A393" s="203"/>
      <c r="B393" s="195"/>
      <c r="C393" s="195"/>
      <c r="D393" s="195"/>
      <c r="E393" s="195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202"/>
      <c r="AI393" s="195"/>
      <c r="AJ393" s="202"/>
      <c r="AK393" s="195"/>
      <c r="AL393" s="195"/>
      <c r="AM393" s="202"/>
      <c r="AN393" s="195"/>
      <c r="AO393" s="202"/>
      <c r="AP393" s="195"/>
      <c r="AQ393" s="195"/>
      <c r="AR393" s="202"/>
      <c r="AS393" s="195"/>
      <c r="AT393" s="202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F393" s="195"/>
      <c r="BG393" s="195"/>
      <c r="BH393" s="195"/>
      <c r="BI393" s="195"/>
      <c r="BW393" s="195"/>
      <c r="BY393" s="195"/>
      <c r="BZ393" s="195"/>
      <c r="CA393" s="346"/>
      <c r="CB393" s="195"/>
      <c r="CC393" s="195"/>
    </row>
    <row r="394" spans="1:81" ht="15.75" customHeight="1">
      <c r="A394" s="203"/>
      <c r="B394" s="195"/>
      <c r="C394" s="195"/>
      <c r="D394" s="195"/>
      <c r="E394" s="195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202"/>
      <c r="AI394" s="195"/>
      <c r="AJ394" s="202"/>
      <c r="AK394" s="195"/>
      <c r="AL394" s="195"/>
      <c r="AM394" s="202"/>
      <c r="AN394" s="195"/>
      <c r="AO394" s="202"/>
      <c r="AP394" s="195"/>
      <c r="AQ394" s="195"/>
      <c r="AR394" s="202"/>
      <c r="AS394" s="195"/>
      <c r="AT394" s="202"/>
      <c r="AU394" s="195"/>
      <c r="AV394" s="195"/>
      <c r="AW394" s="195"/>
      <c r="AX394" s="195"/>
      <c r="AY394" s="195"/>
      <c r="AZ394" s="195"/>
      <c r="BA394" s="195"/>
      <c r="BB394" s="195"/>
      <c r="BC394" s="195"/>
      <c r="BD394" s="195"/>
      <c r="BF394" s="195"/>
      <c r="BG394" s="195"/>
      <c r="BH394" s="195"/>
      <c r="BI394" s="195"/>
      <c r="BW394" s="195"/>
      <c r="BY394" s="195"/>
      <c r="BZ394" s="195"/>
      <c r="CA394" s="346"/>
      <c r="CB394" s="195"/>
      <c r="CC394" s="195"/>
    </row>
    <row r="395" spans="1:81" ht="15.75" customHeight="1">
      <c r="A395" s="203"/>
      <c r="B395" s="195"/>
      <c r="C395" s="195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202"/>
      <c r="AI395" s="195"/>
      <c r="AJ395" s="202"/>
      <c r="AK395" s="195"/>
      <c r="AL395" s="195"/>
      <c r="AM395" s="202"/>
      <c r="AN395" s="195"/>
      <c r="AO395" s="202"/>
      <c r="AP395" s="195"/>
      <c r="AQ395" s="195"/>
      <c r="AR395" s="202"/>
      <c r="AS395" s="195"/>
      <c r="AT395" s="202"/>
      <c r="AU395" s="195"/>
      <c r="AV395" s="195"/>
      <c r="AW395" s="195"/>
      <c r="AX395" s="195"/>
      <c r="AY395" s="195"/>
      <c r="AZ395" s="195"/>
      <c r="BA395" s="195"/>
      <c r="BB395" s="195"/>
      <c r="BC395" s="195"/>
      <c r="BD395" s="195"/>
      <c r="BF395" s="195"/>
      <c r="BG395" s="195"/>
      <c r="BH395" s="195"/>
      <c r="BI395" s="195"/>
      <c r="BW395" s="195"/>
      <c r="BY395" s="195"/>
      <c r="BZ395" s="195"/>
      <c r="CA395" s="346"/>
      <c r="CB395" s="195"/>
      <c r="CC395" s="195"/>
    </row>
    <row r="396" spans="1:81" ht="15.75" customHeight="1">
      <c r="A396" s="203"/>
      <c r="B396" s="195"/>
      <c r="C396" s="195"/>
      <c r="D396" s="195"/>
      <c r="E396" s="195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208"/>
      <c r="AI396" s="195"/>
      <c r="AJ396" s="202"/>
      <c r="AK396" s="195"/>
      <c r="AL396" s="195"/>
      <c r="AM396" s="208"/>
      <c r="AN396" s="195"/>
      <c r="AO396" s="202"/>
      <c r="AP396" s="195"/>
      <c r="AQ396" s="195"/>
      <c r="AR396" s="208"/>
      <c r="AS396" s="195"/>
      <c r="AT396" s="202"/>
      <c r="AU396" s="195"/>
      <c r="AV396" s="195"/>
      <c r="AW396" s="195"/>
      <c r="AX396" s="195"/>
      <c r="AY396" s="195"/>
      <c r="AZ396" s="195"/>
      <c r="BA396" s="195"/>
      <c r="BB396" s="195"/>
      <c r="BC396" s="195"/>
      <c r="BD396" s="195"/>
      <c r="BF396" s="195"/>
      <c r="BG396" s="195"/>
      <c r="BH396" s="195"/>
      <c r="BI396" s="195"/>
      <c r="BW396" s="195"/>
      <c r="BY396" s="195"/>
      <c r="BZ396" s="195"/>
      <c r="CA396" s="346"/>
      <c r="CB396" s="195"/>
      <c r="CC396" s="195"/>
    </row>
    <row r="397" spans="1:81" ht="15.75" customHeight="1">
      <c r="A397" s="203"/>
      <c r="B397" s="195"/>
      <c r="C397" s="195"/>
      <c r="D397" s="195"/>
      <c r="E397" s="195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202"/>
      <c r="AI397" s="195"/>
      <c r="AJ397" s="202"/>
      <c r="AK397" s="195"/>
      <c r="AL397" s="195"/>
      <c r="AM397" s="202"/>
      <c r="AN397" s="195"/>
      <c r="AO397" s="202"/>
      <c r="AP397" s="195"/>
      <c r="AQ397" s="195"/>
      <c r="AR397" s="202"/>
      <c r="AS397" s="195"/>
      <c r="AT397" s="202"/>
      <c r="AU397" s="195"/>
      <c r="AV397" s="195"/>
      <c r="AW397" s="195"/>
      <c r="AX397" s="195"/>
      <c r="AY397" s="195"/>
      <c r="AZ397" s="195"/>
      <c r="BA397" s="195"/>
      <c r="BB397" s="195"/>
      <c r="BC397" s="195"/>
      <c r="BD397" s="195"/>
      <c r="BF397" s="195"/>
      <c r="BG397" s="195"/>
      <c r="BH397" s="195"/>
      <c r="BI397" s="195"/>
      <c r="BW397" s="195"/>
      <c r="BY397" s="195"/>
      <c r="BZ397" s="195"/>
      <c r="CA397" s="346"/>
      <c r="CB397" s="195"/>
      <c r="CC397" s="195"/>
    </row>
    <row r="398" spans="1:81" ht="15.75" customHeight="1">
      <c r="A398" s="203"/>
      <c r="B398" s="195"/>
      <c r="C398" s="195"/>
      <c r="D398" s="195"/>
      <c r="E398" s="195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202"/>
      <c r="AI398" s="195"/>
      <c r="AJ398" s="202"/>
      <c r="AK398" s="195"/>
      <c r="AL398" s="195"/>
      <c r="AM398" s="202"/>
      <c r="AN398" s="195"/>
      <c r="AO398" s="202"/>
      <c r="AP398" s="195"/>
      <c r="AQ398" s="195"/>
      <c r="AR398" s="202"/>
      <c r="AS398" s="195"/>
      <c r="AT398" s="202"/>
      <c r="AU398" s="195"/>
      <c r="AV398" s="195"/>
      <c r="AW398" s="195"/>
      <c r="AX398" s="195"/>
      <c r="AY398" s="195"/>
      <c r="AZ398" s="195"/>
      <c r="BA398" s="195"/>
      <c r="BB398" s="195"/>
      <c r="BC398" s="195"/>
      <c r="BD398" s="195"/>
      <c r="BF398" s="195"/>
      <c r="BG398" s="195"/>
      <c r="BH398" s="195"/>
      <c r="BI398" s="195"/>
      <c r="BW398" s="195"/>
      <c r="BY398" s="195"/>
      <c r="BZ398" s="195"/>
      <c r="CA398" s="346"/>
      <c r="CB398" s="195"/>
      <c r="CC398" s="195"/>
    </row>
    <row r="399" spans="1:81" ht="15.75" customHeight="1">
      <c r="A399" s="203"/>
      <c r="B399" s="195"/>
      <c r="C399" s="195"/>
      <c r="D399" s="195"/>
      <c r="E399" s="195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202"/>
      <c r="AI399" s="195"/>
      <c r="AJ399" s="202"/>
      <c r="AK399" s="195"/>
      <c r="AL399" s="195"/>
      <c r="AM399" s="202"/>
      <c r="AN399" s="195"/>
      <c r="AO399" s="202"/>
      <c r="AP399" s="195"/>
      <c r="AQ399" s="195"/>
      <c r="AR399" s="202"/>
      <c r="AS399" s="195"/>
      <c r="AT399" s="202"/>
      <c r="AU399" s="195"/>
      <c r="AV399" s="195"/>
      <c r="AW399" s="195"/>
      <c r="AX399" s="195"/>
      <c r="AY399" s="195"/>
      <c r="AZ399" s="195"/>
      <c r="BA399" s="195"/>
      <c r="BB399" s="195"/>
      <c r="BC399" s="195"/>
      <c r="BD399" s="195"/>
      <c r="BF399" s="195"/>
      <c r="BG399" s="195"/>
      <c r="BH399" s="195"/>
      <c r="BI399" s="195"/>
      <c r="BW399" s="195"/>
      <c r="BY399" s="195"/>
      <c r="BZ399" s="195"/>
      <c r="CA399" s="346"/>
      <c r="CB399" s="195"/>
      <c r="CC399" s="195"/>
    </row>
    <row r="400" spans="1:81" ht="15.75" customHeight="1">
      <c r="A400" s="203"/>
      <c r="B400" s="195"/>
      <c r="C400" s="195"/>
      <c r="D400" s="195"/>
      <c r="E400" s="195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202"/>
      <c r="AI400" s="195"/>
      <c r="AJ400" s="202"/>
      <c r="AK400" s="195"/>
      <c r="AL400" s="195"/>
      <c r="AM400" s="202"/>
      <c r="AN400" s="195"/>
      <c r="AO400" s="202"/>
      <c r="AP400" s="195"/>
      <c r="AQ400" s="195"/>
      <c r="AR400" s="202"/>
      <c r="AS400" s="195"/>
      <c r="AT400" s="202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F400" s="195"/>
      <c r="BG400" s="195"/>
      <c r="BH400" s="195"/>
      <c r="BI400" s="195"/>
      <c r="BW400" s="195"/>
      <c r="BY400" s="195"/>
      <c r="BZ400" s="195"/>
      <c r="CA400" s="346"/>
      <c r="CB400" s="195"/>
      <c r="CC400" s="195"/>
    </row>
    <row r="401" spans="1:81" ht="15.75" customHeight="1">
      <c r="A401" s="203"/>
      <c r="B401" s="195"/>
      <c r="C401" s="195"/>
      <c r="D401" s="195"/>
      <c r="E401" s="195"/>
      <c r="F401" s="195"/>
      <c r="G401" s="195"/>
      <c r="H401" s="195"/>
      <c r="I401" s="195"/>
      <c r="J401" s="195"/>
      <c r="K401" s="195"/>
      <c r="L401" s="195"/>
      <c r="M401" s="195"/>
      <c r="N401" s="215"/>
      <c r="O401" s="216"/>
      <c r="P401" s="216"/>
      <c r="Q401" s="195"/>
      <c r="R401" s="195"/>
      <c r="S401" s="21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202"/>
      <c r="AI401" s="195"/>
      <c r="AJ401" s="202"/>
      <c r="AK401" s="195"/>
      <c r="AL401" s="195"/>
      <c r="AM401" s="202"/>
      <c r="AN401" s="195"/>
      <c r="AO401" s="202"/>
      <c r="AP401" s="195"/>
      <c r="AQ401" s="195"/>
      <c r="AR401" s="202"/>
      <c r="AS401" s="195"/>
      <c r="AT401" s="202"/>
      <c r="AU401" s="195"/>
      <c r="AV401" s="195"/>
      <c r="AW401" s="195"/>
      <c r="AX401" s="195"/>
      <c r="AY401" s="195"/>
      <c r="AZ401" s="195"/>
      <c r="BA401" s="195"/>
      <c r="BB401" s="195"/>
      <c r="BC401" s="195"/>
      <c r="BD401" s="195"/>
      <c r="BF401" s="195"/>
      <c r="BG401" s="195"/>
      <c r="BH401" s="195"/>
      <c r="BI401" s="195"/>
      <c r="BW401" s="195"/>
      <c r="BY401" s="195"/>
      <c r="BZ401" s="195"/>
      <c r="CA401" s="346"/>
      <c r="CB401" s="195"/>
      <c r="CC401" s="195"/>
    </row>
    <row r="402" spans="1:81" ht="15.75" customHeight="1">
      <c r="A402" s="203"/>
      <c r="B402" s="195"/>
      <c r="C402" s="195"/>
      <c r="D402" s="195"/>
      <c r="E402" s="195"/>
      <c r="F402" s="195"/>
      <c r="G402" s="195"/>
      <c r="H402" s="195"/>
      <c r="I402" s="195"/>
      <c r="J402" s="195"/>
      <c r="K402" s="195"/>
      <c r="L402" s="195"/>
      <c r="M402" s="195"/>
      <c r="N402" s="215"/>
      <c r="O402" s="216"/>
      <c r="P402" s="217"/>
      <c r="Q402" s="195"/>
      <c r="R402" s="195"/>
      <c r="S402" s="205"/>
      <c r="T402" s="216"/>
      <c r="U402" s="217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208"/>
      <c r="AI402" s="216"/>
      <c r="AJ402" s="202"/>
      <c r="AK402" s="195"/>
      <c r="AL402" s="195"/>
      <c r="AM402" s="208"/>
      <c r="AN402" s="216"/>
      <c r="AO402" s="202"/>
      <c r="AP402" s="195"/>
      <c r="AQ402" s="195"/>
      <c r="AR402" s="208"/>
      <c r="AS402" s="216"/>
      <c r="AT402" s="202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F402" s="195"/>
      <c r="BG402" s="195"/>
      <c r="BH402" s="195"/>
      <c r="BI402" s="195"/>
      <c r="BW402" s="195"/>
      <c r="BY402" s="195"/>
      <c r="BZ402" s="195"/>
      <c r="CA402" s="346"/>
      <c r="CB402" s="195"/>
      <c r="CC402" s="195"/>
    </row>
    <row r="403" spans="1:81" ht="15.75" customHeight="1">
      <c r="A403" s="203"/>
      <c r="B403" s="195"/>
      <c r="C403" s="195"/>
      <c r="D403" s="195"/>
      <c r="E403" s="195"/>
      <c r="F403" s="195"/>
      <c r="G403" s="195"/>
      <c r="H403" s="195"/>
      <c r="I403" s="195"/>
      <c r="J403" s="195"/>
      <c r="K403" s="195"/>
      <c r="L403" s="195"/>
      <c r="M403" s="195"/>
      <c r="N403" s="215"/>
      <c r="O403" s="216"/>
      <c r="P403" s="217"/>
      <c r="Q403" s="195"/>
      <c r="R403" s="195"/>
      <c r="S403" s="215"/>
      <c r="T403" s="216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202"/>
      <c r="AI403" s="216"/>
      <c r="AJ403" s="202"/>
      <c r="AK403" s="195"/>
      <c r="AL403" s="195"/>
      <c r="AM403" s="202"/>
      <c r="AN403" s="216"/>
      <c r="AO403" s="202"/>
      <c r="AP403" s="195"/>
      <c r="AQ403" s="195"/>
      <c r="AR403" s="202"/>
      <c r="AS403" s="216"/>
      <c r="AT403" s="202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F403" s="195"/>
      <c r="BG403" s="195"/>
      <c r="BH403" s="195"/>
      <c r="BI403" s="195"/>
      <c r="BW403" s="195"/>
      <c r="BY403" s="195"/>
      <c r="BZ403" s="195"/>
      <c r="CA403" s="346"/>
      <c r="CB403" s="195"/>
      <c r="CC403" s="195"/>
    </row>
    <row r="404" spans="1:81" ht="15.75" customHeight="1">
      <c r="A404" s="218"/>
      <c r="B404" s="193"/>
      <c r="C404" s="193"/>
      <c r="D404" s="193"/>
      <c r="E404" s="193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199"/>
      <c r="AL404" s="199"/>
      <c r="AM404" s="199"/>
      <c r="AN404" s="199"/>
      <c r="AO404" s="199"/>
      <c r="AP404" s="199"/>
      <c r="AQ404" s="199"/>
      <c r="AR404" s="199"/>
      <c r="AS404" s="199"/>
      <c r="AT404" s="199"/>
      <c r="AU404" s="199"/>
      <c r="AV404" s="199"/>
      <c r="AW404" s="199"/>
      <c r="AX404" s="199"/>
      <c r="AY404" s="199"/>
      <c r="AZ404" s="199"/>
      <c r="BA404" s="199"/>
      <c r="BB404" s="199"/>
      <c r="BC404" s="199"/>
      <c r="BD404" s="199"/>
      <c r="BF404" s="199"/>
      <c r="BG404" s="199"/>
      <c r="BH404" s="199"/>
      <c r="BI404" s="199"/>
      <c r="BW404" s="193"/>
      <c r="BY404" s="199"/>
      <c r="BZ404" s="199"/>
      <c r="CA404" s="348"/>
      <c r="CB404" s="199"/>
      <c r="CC404" s="199"/>
    </row>
    <row r="405" spans="1:75" ht="16.5" customHeight="1">
      <c r="A405" s="214"/>
      <c r="B405" s="193"/>
      <c r="C405" s="193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BW405" s="193"/>
    </row>
    <row r="406" spans="1:75" ht="11.25">
      <c r="A406" s="218"/>
      <c r="B406" s="193"/>
      <c r="C406" s="193"/>
      <c r="D406" s="193"/>
      <c r="E406" s="193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BW406" s="193"/>
    </row>
    <row r="407" spans="2:75" ht="50.25" customHeight="1"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BW407" s="341"/>
    </row>
    <row r="408" spans="14:41" ht="11.25">
      <c r="N408" s="219"/>
      <c r="AJ408" s="219"/>
      <c r="AK408" s="219"/>
      <c r="AO408" s="191"/>
    </row>
  </sheetData>
  <sheetProtection/>
  <mergeCells count="41">
    <mergeCell ref="BW3:BW4"/>
    <mergeCell ref="K1:L1"/>
    <mergeCell ref="AG3:AK3"/>
    <mergeCell ref="AL3:AP3"/>
    <mergeCell ref="BK3:BO3"/>
    <mergeCell ref="BP3:BT3"/>
    <mergeCell ref="W3:AA3"/>
    <mergeCell ref="AB3:AF3"/>
    <mergeCell ref="S213:X213"/>
    <mergeCell ref="B212:F212"/>
    <mergeCell ref="K212:O212"/>
    <mergeCell ref="B209:AP209"/>
    <mergeCell ref="A196:B196"/>
    <mergeCell ref="I3:L3"/>
    <mergeCell ref="H3:H4"/>
    <mergeCell ref="C3:C4"/>
    <mergeCell ref="D3:G3"/>
    <mergeCell ref="AA217:AE217"/>
    <mergeCell ref="A3:A4"/>
    <mergeCell ref="B3:B4"/>
    <mergeCell ref="M3:Q3"/>
    <mergeCell ref="R3:V3"/>
    <mergeCell ref="AF217:AJ217"/>
    <mergeCell ref="AV217:AY217"/>
    <mergeCell ref="AZ217:BI217"/>
    <mergeCell ref="BG216:BI216"/>
    <mergeCell ref="AQ3:AU3"/>
    <mergeCell ref="AV3:AZ3"/>
    <mergeCell ref="BF3:BJ3"/>
    <mergeCell ref="BA3:BE3"/>
    <mergeCell ref="BB216:BD216"/>
    <mergeCell ref="A2:BW2"/>
    <mergeCell ref="B214:BW214"/>
    <mergeCell ref="AK217:AO217"/>
    <mergeCell ref="AP217:AT217"/>
    <mergeCell ref="AU217:AU218"/>
    <mergeCell ref="A215:BI215"/>
    <mergeCell ref="A217:A218"/>
    <mergeCell ref="B217:P217"/>
    <mergeCell ref="Q217:U217"/>
    <mergeCell ref="V217:Z217"/>
  </mergeCells>
  <printOptions/>
  <pageMargins left="0.7874015748031497" right="0.11811023622047245" top="0.15748031496062992" bottom="0.15748031496062992" header="0.1968503937007874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Светлана Анатольевна Сокол</cp:lastModifiedBy>
  <cp:lastPrinted>2015-01-29T13:21:48Z</cp:lastPrinted>
  <dcterms:created xsi:type="dcterms:W3CDTF">2012-06-05T13:34:09Z</dcterms:created>
  <dcterms:modified xsi:type="dcterms:W3CDTF">2019-03-06T06:48:27Z</dcterms:modified>
  <cp:category/>
  <cp:version/>
  <cp:contentType/>
  <cp:contentStatus/>
</cp:coreProperties>
</file>